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externalReferences>
    <externalReference r:id="rId6"/>
  </externalReference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  <definedName name="_xlnm.Print_Titles" localSheetId="1">F6a!$1:$3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44" i="1"/>
  <c r="D26" i="1"/>
  <c r="C26" i="1"/>
  <c r="F55" i="1"/>
  <c r="E55" i="1"/>
  <c r="D55" i="1"/>
  <c r="C55" i="1"/>
  <c r="B55" i="1"/>
  <c r="D54" i="1" l="1"/>
  <c r="C54" i="1"/>
  <c r="C14" i="2" l="1"/>
  <c r="C13" i="2"/>
  <c r="C12" i="2"/>
  <c r="C11" i="2"/>
  <c r="C10" i="2"/>
  <c r="C9" i="2"/>
  <c r="C8" i="2"/>
  <c r="C7" i="2"/>
  <c r="C6" i="2"/>
  <c r="F14" i="2" l="1"/>
  <c r="F13" i="2"/>
  <c r="F12" i="2"/>
  <c r="F11" i="2"/>
  <c r="F10" i="2"/>
  <c r="F9" i="2"/>
  <c r="F8" i="2"/>
  <c r="F7" i="2"/>
  <c r="F6" i="2"/>
  <c r="E14" i="2"/>
  <c r="E13" i="2"/>
  <c r="E12" i="2"/>
  <c r="E11" i="2"/>
  <c r="E10" i="2"/>
  <c r="E9" i="2"/>
  <c r="E8" i="2"/>
  <c r="E7" i="2"/>
  <c r="E6" i="2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G14" i="2" l="1"/>
  <c r="E5" i="2"/>
  <c r="B5" i="2"/>
  <c r="F5" i="2"/>
  <c r="D5" i="2"/>
  <c r="C5" i="2"/>
  <c r="F77" i="1" l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5" i="1"/>
  <c r="E65" i="1"/>
  <c r="D65" i="1"/>
  <c r="C65" i="1"/>
  <c r="B65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6" i="1"/>
  <c r="E56" i="1"/>
  <c r="D56" i="1"/>
  <c r="C56" i="1"/>
  <c r="B56" i="1"/>
  <c r="F54" i="1"/>
  <c r="E54" i="1"/>
  <c r="B54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B44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B26" i="1"/>
  <c r="F25" i="1"/>
  <c r="E25" i="1"/>
  <c r="D25" i="1"/>
  <c r="C25" i="1"/>
  <c r="B25" i="1"/>
  <c r="F24" i="1"/>
  <c r="E24" i="1"/>
  <c r="D24" i="1"/>
  <c r="C24" i="1"/>
  <c r="B24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G29" i="1" l="1"/>
  <c r="G26" i="4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G16" i="4" s="1"/>
  <c r="F16" i="4"/>
  <c r="E16" i="4"/>
  <c r="D16" i="4"/>
  <c r="B16" i="4"/>
  <c r="G14" i="4"/>
  <c r="G13" i="4"/>
  <c r="G12" i="4"/>
  <c r="F11" i="4"/>
  <c r="E11" i="4"/>
  <c r="D11" i="4"/>
  <c r="C11" i="4"/>
  <c r="B11" i="4"/>
  <c r="G10" i="4"/>
  <c r="G9" i="4"/>
  <c r="G8" i="4"/>
  <c r="G7" i="4"/>
  <c r="F7" i="4"/>
  <c r="E7" i="4"/>
  <c r="D7" i="4"/>
  <c r="C7" i="4"/>
  <c r="B7" i="4"/>
  <c r="G6" i="4"/>
  <c r="G77" i="3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 s="1"/>
  <c r="C62" i="3"/>
  <c r="B62" i="3"/>
  <c r="G60" i="3"/>
  <c r="G59" i="3"/>
  <c r="G58" i="3"/>
  <c r="G57" i="3"/>
  <c r="G56" i="3"/>
  <c r="G55" i="3"/>
  <c r="G54" i="3"/>
  <c r="G53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F43" i="3"/>
  <c r="E43" i="3"/>
  <c r="E42" i="3" s="1"/>
  <c r="D43" i="3"/>
  <c r="G43" i="3" s="1"/>
  <c r="C43" i="3"/>
  <c r="B43" i="3"/>
  <c r="F42" i="3"/>
  <c r="C42" i="3"/>
  <c r="B42" i="3"/>
  <c r="G40" i="3"/>
  <c r="G39" i="3"/>
  <c r="G38" i="3"/>
  <c r="G37" i="3"/>
  <c r="F36" i="3"/>
  <c r="E36" i="3"/>
  <c r="D36" i="3"/>
  <c r="G36" i="3" s="1"/>
  <c r="C36" i="3"/>
  <c r="B36" i="3"/>
  <c r="G34" i="3"/>
  <c r="G33" i="3"/>
  <c r="G32" i="3"/>
  <c r="G31" i="3"/>
  <c r="G30" i="3"/>
  <c r="G29" i="3"/>
  <c r="G28" i="3"/>
  <c r="G27" i="3"/>
  <c r="G26" i="3"/>
  <c r="G25" i="3"/>
  <c r="F25" i="3"/>
  <c r="E25" i="3"/>
  <c r="D25" i="3"/>
  <c r="C25" i="3"/>
  <c r="B25" i="3"/>
  <c r="G23" i="3"/>
  <c r="G22" i="3"/>
  <c r="G21" i="3"/>
  <c r="G20" i="3"/>
  <c r="G19" i="3"/>
  <c r="G17" i="3"/>
  <c r="G14" i="3"/>
  <c r="G13" i="3"/>
  <c r="G12" i="3"/>
  <c r="G11" i="3"/>
  <c r="G10" i="3"/>
  <c r="G9" i="3"/>
  <c r="G6" i="3" s="1"/>
  <c r="G8" i="3"/>
  <c r="G7" i="3"/>
  <c r="F6" i="3"/>
  <c r="E6" i="3"/>
  <c r="D6" i="3"/>
  <c r="C6" i="3"/>
  <c r="B6" i="3"/>
  <c r="G25" i="2"/>
  <c r="G24" i="2"/>
  <c r="G23" i="2"/>
  <c r="G22" i="2"/>
  <c r="G21" i="2"/>
  <c r="G20" i="2"/>
  <c r="G19" i="2"/>
  <c r="G18" i="2"/>
  <c r="G17" i="2" s="1"/>
  <c r="F17" i="2"/>
  <c r="E17" i="2"/>
  <c r="D17" i="2"/>
  <c r="C17" i="2"/>
  <c r="B17" i="2"/>
  <c r="G13" i="2"/>
  <c r="G12" i="2"/>
  <c r="G11" i="2"/>
  <c r="G10" i="2"/>
  <c r="G9" i="2"/>
  <c r="G8" i="2"/>
  <c r="G7" i="2"/>
  <c r="G6" i="2"/>
  <c r="F27" i="2"/>
  <c r="E27" i="2"/>
  <c r="D27" i="2"/>
  <c r="C27" i="2"/>
  <c r="B27" i="2"/>
  <c r="G152" i="1"/>
  <c r="G151" i="1"/>
  <c r="G150" i="1"/>
  <c r="G149" i="1"/>
  <c r="G148" i="1"/>
  <c r="G147" i="1"/>
  <c r="G146" i="1"/>
  <c r="F145" i="1"/>
  <c r="E145" i="1"/>
  <c r="D145" i="1"/>
  <c r="C145" i="1"/>
  <c r="B145" i="1"/>
  <c r="G144" i="1"/>
  <c r="G143" i="1"/>
  <c r="G142" i="1"/>
  <c r="F141" i="1"/>
  <c r="E141" i="1"/>
  <c r="D141" i="1"/>
  <c r="G141" i="1" s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C132" i="1"/>
  <c r="B132" i="1"/>
  <c r="G131" i="1"/>
  <c r="G130" i="1"/>
  <c r="G129" i="1"/>
  <c r="F128" i="1"/>
  <c r="E128" i="1"/>
  <c r="D128" i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 s="1"/>
  <c r="C118" i="1"/>
  <c r="B118" i="1"/>
  <c r="G117" i="1"/>
  <c r="G116" i="1"/>
  <c r="G115" i="1"/>
  <c r="G114" i="1"/>
  <c r="G113" i="1"/>
  <c r="G112" i="1"/>
  <c r="G111" i="1"/>
  <c r="G110" i="1"/>
  <c r="G109" i="1"/>
  <c r="F108" i="1"/>
  <c r="E108" i="1"/>
  <c r="D108" i="1"/>
  <c r="G108" i="1" s="1"/>
  <c r="C108" i="1"/>
  <c r="B108" i="1"/>
  <c r="G107" i="1"/>
  <c r="G106" i="1"/>
  <c r="G105" i="1"/>
  <c r="G104" i="1"/>
  <c r="G103" i="1"/>
  <c r="G102" i="1"/>
  <c r="G101" i="1"/>
  <c r="G100" i="1"/>
  <c r="G99" i="1"/>
  <c r="G98" i="1"/>
  <c r="F98" i="1"/>
  <c r="E98" i="1"/>
  <c r="D98" i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D88" i="1"/>
  <c r="C88" i="1"/>
  <c r="B88" i="1"/>
  <c r="G87" i="1"/>
  <c r="G86" i="1"/>
  <c r="G85" i="1"/>
  <c r="G84" i="1"/>
  <c r="G83" i="1"/>
  <c r="G82" i="1"/>
  <c r="G81" i="1"/>
  <c r="F80" i="1"/>
  <c r="E80" i="1"/>
  <c r="D80" i="1"/>
  <c r="C80" i="1"/>
  <c r="B80" i="1"/>
  <c r="G77" i="1"/>
  <c r="G76" i="1"/>
  <c r="G75" i="1"/>
  <c r="G74" i="1"/>
  <c r="G73" i="1"/>
  <c r="G72" i="1"/>
  <c r="G71" i="1"/>
  <c r="F70" i="1"/>
  <c r="E70" i="1"/>
  <c r="D70" i="1"/>
  <c r="C70" i="1"/>
  <c r="B70" i="1"/>
  <c r="G69" i="1"/>
  <c r="G68" i="1"/>
  <c r="G67" i="1"/>
  <c r="F66" i="1"/>
  <c r="E66" i="1"/>
  <c r="D66" i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C57" i="1"/>
  <c r="B57" i="1"/>
  <c r="G56" i="1"/>
  <c r="G55" i="1"/>
  <c r="G54" i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/>
  <c r="F43" i="1"/>
  <c r="E43" i="1"/>
  <c r="D43" i="1"/>
  <c r="C43" i="1"/>
  <c r="B43" i="1"/>
  <c r="G42" i="1"/>
  <c r="G41" i="1"/>
  <c r="G40" i="1"/>
  <c r="G39" i="1"/>
  <c r="G38" i="1"/>
  <c r="G37" i="1"/>
  <c r="G36" i="1"/>
  <c r="G35" i="1"/>
  <c r="G34" i="1"/>
  <c r="F33" i="1"/>
  <c r="E33" i="1"/>
  <c r="G33" i="1" s="1"/>
  <c r="D33" i="1"/>
  <c r="C33" i="1"/>
  <c r="B33" i="1"/>
  <c r="G32" i="1"/>
  <c r="G31" i="1"/>
  <c r="G30" i="1"/>
  <c r="G28" i="1"/>
  <c r="G27" i="1"/>
  <c r="G26" i="1"/>
  <c r="G25" i="1"/>
  <c r="G24" i="1"/>
  <c r="F23" i="1"/>
  <c r="E23" i="1"/>
  <c r="D23" i="1"/>
  <c r="C23" i="1"/>
  <c r="B23" i="1"/>
  <c r="G22" i="1"/>
  <c r="G21" i="1"/>
  <c r="G20" i="1"/>
  <c r="G19" i="1"/>
  <c r="G18" i="1"/>
  <c r="G17" i="1"/>
  <c r="G16" i="1"/>
  <c r="G15" i="1"/>
  <c r="G14" i="1"/>
  <c r="F13" i="1"/>
  <c r="E13" i="1"/>
  <c r="D13" i="1"/>
  <c r="C13" i="1"/>
  <c r="B13" i="1"/>
  <c r="G12" i="1"/>
  <c r="G11" i="1"/>
  <c r="G10" i="1"/>
  <c r="G9" i="1"/>
  <c r="G8" i="1"/>
  <c r="G7" i="1"/>
  <c r="G6" i="1"/>
  <c r="F5" i="1"/>
  <c r="F5" i="4" s="1"/>
  <c r="F4" i="4" s="1"/>
  <c r="F27" i="4" s="1"/>
  <c r="E5" i="1"/>
  <c r="E5" i="4" s="1"/>
  <c r="D5" i="1"/>
  <c r="D5" i="4" s="1"/>
  <c r="C5" i="1"/>
  <c r="C5" i="4" s="1"/>
  <c r="C4" i="4" s="1"/>
  <c r="B5" i="1"/>
  <c r="B5" i="4" s="1"/>
  <c r="B4" i="4" s="1"/>
  <c r="B27" i="4" s="1"/>
  <c r="G5" i="4" l="1"/>
  <c r="D4" i="4"/>
  <c r="D27" i="4" s="1"/>
  <c r="E4" i="4"/>
  <c r="E27" i="4" s="1"/>
  <c r="G5" i="2"/>
  <c r="G27" i="2" s="1"/>
  <c r="G57" i="1"/>
  <c r="G53" i="1"/>
  <c r="G23" i="1"/>
  <c r="G13" i="1"/>
  <c r="G66" i="1"/>
  <c r="G5" i="1"/>
  <c r="G70" i="1"/>
  <c r="G145" i="1"/>
  <c r="D79" i="1"/>
  <c r="G132" i="1"/>
  <c r="G79" i="1" s="1"/>
  <c r="G128" i="1"/>
  <c r="F79" i="1"/>
  <c r="C79" i="1"/>
  <c r="G88" i="1"/>
  <c r="B79" i="1"/>
  <c r="E79" i="1"/>
  <c r="G80" i="1"/>
  <c r="C4" i="1"/>
  <c r="C18" i="3" s="1"/>
  <c r="C16" i="3" s="1"/>
  <c r="C5" i="3" s="1"/>
  <c r="C79" i="3" s="1"/>
  <c r="F4" i="1"/>
  <c r="F18" i="3" s="1"/>
  <c r="F16" i="3" s="1"/>
  <c r="F5" i="3" s="1"/>
  <c r="F79" i="3" s="1"/>
  <c r="G43" i="1"/>
  <c r="B4" i="1"/>
  <c r="B18" i="3" s="1"/>
  <c r="B16" i="3" s="1"/>
  <c r="B5" i="3" s="1"/>
  <c r="B79" i="3" s="1"/>
  <c r="D4" i="1"/>
  <c r="D18" i="3" s="1"/>
  <c r="E4" i="1"/>
  <c r="E18" i="3" s="1"/>
  <c r="E16" i="3" s="1"/>
  <c r="E5" i="3" s="1"/>
  <c r="E79" i="3" s="1"/>
  <c r="C27" i="4"/>
  <c r="D42" i="3"/>
  <c r="G42" i="3" s="1"/>
  <c r="G11" i="4"/>
  <c r="G4" i="4" l="1"/>
  <c r="G27" i="4" s="1"/>
  <c r="G18" i="3"/>
  <c r="D16" i="3"/>
  <c r="G4" i="1"/>
  <c r="G154" i="1" s="1"/>
  <c r="D154" i="1"/>
  <c r="F154" i="1"/>
  <c r="C154" i="1"/>
  <c r="B154" i="1"/>
  <c r="E154" i="1"/>
  <c r="G16" i="3" l="1"/>
  <c r="G5" i="3" s="1"/>
  <c r="G79" i="3" s="1"/>
  <c r="D5" i="3"/>
  <c r="D79" i="3" s="1"/>
</calcChain>
</file>

<file path=xl/sharedStrings.xml><?xml version="1.0" encoding="utf-8"?>
<sst xmlns="http://schemas.openxmlformats.org/spreadsheetml/2006/main" count="301" uniqueCount="158">
  <si>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</si>
  <si>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</si>
  <si>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</si>
  <si>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</si>
  <si>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</si>
  <si>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</si>
  <si>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</si>
  <si>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</si>
  <si>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</si>
  <si>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</si>
  <si>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</si>
  <si>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</si>
  <si>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</si>
  <si>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</si>
  <si>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</si>
  <si>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</si>
  <si>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</si>
  <si>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</si>
  <si>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</si>
  <si>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</si>
  <si>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</si>
  <si>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</si>
  <si>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</si>
  <si>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</si>
  <si>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</si>
  <si>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</si>
  <si>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</si>
  <si>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</si>
  <si>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</si>
  <si>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</si>
  <si>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</si>
  <si>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</si>
  <si>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</si>
  <si>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</si>
  <si>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</si>
  <si>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</si>
  <si>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</si>
  <si>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</si>
  <si>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</si>
  <si>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</si>
  <si>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</si>
  <si>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</si>
  <si>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</si>
  <si>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</si>
  <si>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</si>
  <si>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</si>
  <si>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</si>
  <si>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</si>
  <si>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</si>
  <si>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</si>
  <si>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</si>
  <si>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</si>
  <si>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</si>
  <si>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</si>
  <si>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</si>
  <si>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</si>
  <si>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</si>
  <si>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</si>
  <si>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</si>
  <si>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</si>
  <si>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</si>
  <si>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</si>
  <si>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</si>
  <si>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</si>
  <si>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</si>
  <si>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</si>
  <si>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</si>
  <si>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</si>
  <si>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</si>
  <si>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</si>
  <si>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</si>
  <si>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</si>
  <si>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</si>
  <si>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</si>
  <si>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</si>
  <si>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</si>
  <si>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</si>
  <si>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</si>
  <si>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</si>
  <si>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</si>
  <si>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</si>
  <si>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</si>
  <si>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</si>
  <si>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</si>
  <si>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</si>
  <si>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</si>
  <si>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</si>
  <si>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</si>
  <si>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</si>
  <si>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</si>
  <si>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</si>
  <si>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</si>
  <si>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</si>
  <si>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</si>
  <si>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</si>
  <si>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</si>
  <si>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</si>
  <si>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</si>
  <si>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</si>
  <si>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</si>
  <si>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</si>
  <si>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</si>
  <si>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</si>
  <si>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</si>
  <si>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</si>
  <si>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</si>
  <si>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</si>
  <si>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</si>
  <si>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</si>
  <si>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</si>
  <si>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</si>
  <si>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</si>
  <si>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</si>
  <si>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</si>
  <si>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</si>
  <si>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</si>
  <si>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</si>
  <si>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</si>
  <si>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</si>
  <si>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</si>
  <si>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</si>
  <si>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</si>
  <si>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</si>
  <si>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</si>
  <si>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</si>
  <si>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</si>
  <si>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</si>
  <si>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</si>
  <si>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</si>
  <si>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</si>
  <si>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</si>
  <si>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</si>
  <si>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</si>
  <si>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</si>
  <si>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</si>
  <si>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</si>
  <si>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</si>
  <si>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</si>
  <si>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</si>
  <si>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</si>
  <si>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</si>
  <si>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</si>
  <si>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</si>
  <si>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</si>
  <si>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</si>
  <si>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</si>
  <si>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</si>
  <si>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</si>
  <si>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H. Dependencia o Unidad Administrativa 8</t>
  </si>
  <si>
    <t>I. Dependencia o Unidad Administrativa 9</t>
  </si>
  <si>
    <t>(I=A+B+C+D+E+F+G+H+I)</t>
  </si>
  <si>
    <t>ELABORO</t>
  </si>
  <si>
    <t>C.P. María de la Luz Caracheo A.</t>
  </si>
  <si>
    <t>Jefe de depto. Contabilidad</t>
  </si>
  <si>
    <t>JUNTA MUNICIPAL DE AGUA POTABLE Y ALCANTARILLADO DE CORTAZAR, GTO.
Estado Analítico del Ejercicio del Presupuesto de Egresos Detallado - LDF
Clasificación Funcional (Finalidad y Función)
Del 1 de enero al 30 de Junio de 2017 (b)
(PESOS)</t>
  </si>
  <si>
    <t>JUNTA MUNICIPAL DE AGUA POTABLE Y ALCANTARILLADO DE CORTAZAR, GTO.Estado Analítico del Ejercicio del Presupuesto de Egresos Detallado - LDF
Clasificación por Objeto del Gasto (Capítulo y Concepto)
Del 1 de enero al 30 de Junio de 2017 (b)
(PESOS)</t>
  </si>
  <si>
    <t>JUNTA MUNICIPAL DE AGUA POTABLE Y ALCANTARILLADO DE CORTAZAR, GTO.
Estado Analítico del Ejercicio del Presupuesto de Egresos Detallado - LDF
Clasificación Administrativa
Del 1 de enero al 30 de Junio de 2017 (b)
(PESOS)</t>
  </si>
  <si>
    <t>JUNTA MUNICIPAL DE AGUA POTABLE Y ALCANTARILLADO DE CORTAZAR, GTO.
Estado Analítico del Ejercicio del Presupuesto de Egresos Detallado - LDF
Clasificación de Servicios Personales por Categoría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</si>
</sst>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6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164" fontId="10" fillId="0" borderId="7" xfId="2" applyNumberFormat="1" applyFont="1" applyBorder="1" applyAlignment="1">
      <alignment horizontal="right" vertical="center"/>
    </xf>
    <xf numFmtId="164" fontId="10" fillId="0" borderId="7" xfId="2" applyNumberFormat="1" applyFont="1" applyFill="1" applyBorder="1" applyAlignment="1">
      <alignment horizontal="right" vertical="center"/>
    </xf>
    <xf numFmtId="164" fontId="10" fillId="0" borderId="6" xfId="2" applyNumberFormat="1" applyFont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4" fontId="12" fillId="0" borderId="8" xfId="2" applyNumberFormat="1" applyFont="1" applyBorder="1" applyAlignment="1" applyProtection="1">
      <alignment vertical="top"/>
      <protection locked="0"/>
    </xf>
    <xf numFmtId="4" fontId="12" fillId="0" borderId="9" xfId="2" applyNumberFormat="1" applyFont="1" applyBorder="1" applyAlignment="1" applyProtection="1">
      <alignment vertical="top"/>
      <protection locked="0"/>
    </xf>
    <xf numFmtId="4" fontId="6" fillId="0" borderId="0" xfId="0" applyNumberFormat="1" applyFont="1" applyAlignment="1"/>
    <xf numFmtId="0" fontId="6" fillId="0" borderId="0" xfId="0" applyFont="1" applyAlignment="1"/>
    <xf numFmtId="0" fontId="14" fillId="0" borderId="0" xfId="3" applyFont="1" applyBorder="1" applyAlignment="1" applyProtection="1">
      <alignment vertical="top"/>
      <protection locked="0"/>
    </xf>
    <xf numFmtId="0" fontId="14" fillId="0" borderId="0" xfId="3" applyFont="1" applyBorder="1" applyAlignment="1" applyProtection="1">
      <alignment vertical="top" wrapText="1"/>
      <protection locked="0"/>
    </xf>
    <xf numFmtId="4" fontId="15" fillId="0" borderId="0" xfId="3" applyNumberFormat="1" applyFont="1" applyBorder="1" applyAlignment="1" applyProtection="1">
      <alignment horizontal="center" vertical="top"/>
      <protection locked="0"/>
    </xf>
    <xf numFmtId="0" fontId="14" fillId="0" borderId="0" xfId="3" applyFont="1" applyAlignment="1" applyProtection="1">
      <alignment vertical="top"/>
      <protection locked="0"/>
    </xf>
    <xf numFmtId="4" fontId="14" fillId="0" borderId="0" xfId="3" applyNumberFormat="1" applyFont="1" applyBorder="1" applyAlignment="1" applyProtection="1">
      <alignment vertical="top"/>
      <protection locked="0"/>
    </xf>
    <xf numFmtId="4" fontId="14" fillId="0" borderId="10" xfId="3" applyNumberFormat="1" applyFont="1" applyBorder="1" applyAlignment="1" applyProtection="1">
      <alignment vertical="top"/>
      <protection locked="0"/>
    </xf>
    <xf numFmtId="0" fontId="14" fillId="0" borderId="10" xfId="3" applyFont="1" applyBorder="1" applyAlignment="1" applyProtection="1">
      <alignment vertical="top"/>
      <protection locked="0"/>
    </xf>
    <xf numFmtId="4" fontId="15" fillId="0" borderId="0" xfId="3" applyNumberFormat="1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Normal 2 2" xfId="3"/>
  </cellStyles>
  <dxfs count="2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163</xdr:row>
      <xdr:rowOff>57150</xdr:rowOff>
    </xdr:from>
    <xdr:to>
      <xdr:col>0</xdr:col>
      <xdr:colOff>3019425</xdr:colOff>
      <xdr:row>166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476250" y="11553825"/>
          <a:ext cx="2543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504825</xdr:colOff>
      <xdr:row>163</xdr:row>
      <xdr:rowOff>0</xdr:rowOff>
    </xdr:from>
    <xdr:to>
      <xdr:col>0</xdr:col>
      <xdr:colOff>2562225</xdr:colOff>
      <xdr:row>163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11496675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1171575</xdr:colOff>
      <xdr:row>159</xdr:row>
      <xdr:rowOff>85725</xdr:rowOff>
    </xdr:from>
    <xdr:to>
      <xdr:col>0</xdr:col>
      <xdr:colOff>1847850</xdr:colOff>
      <xdr:row>161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11010900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0</xdr:col>
      <xdr:colOff>3305175</xdr:colOff>
      <xdr:row>163</xdr:row>
      <xdr:rowOff>19050</xdr:rowOff>
    </xdr:from>
    <xdr:to>
      <xdr:col>1</xdr:col>
      <xdr:colOff>152400</xdr:colOff>
      <xdr:row>166</xdr:row>
      <xdr:rowOff>38100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3305175" y="11515725"/>
          <a:ext cx="20383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0</xdr:col>
      <xdr:colOff>3295650</xdr:colOff>
      <xdr:row>162</xdr:row>
      <xdr:rowOff>76200</xdr:rowOff>
    </xdr:from>
    <xdr:to>
      <xdr:col>0</xdr:col>
      <xdr:colOff>5038725</xdr:colOff>
      <xdr:row>162</xdr:row>
      <xdr:rowOff>76200</xdr:rowOff>
    </xdr:to>
    <xdr:cxnSp macro="">
      <xdr:nvCxnSpPr>
        <xdr:cNvPr id="6" name="4 Conector recto"/>
        <xdr:cNvCxnSpPr/>
      </xdr:nvCxnSpPr>
      <xdr:spPr>
        <a:xfrm>
          <a:off x="3295650" y="11430000"/>
          <a:ext cx="17430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3581400</xdr:colOff>
      <xdr:row>158</xdr:row>
      <xdr:rowOff>95250</xdr:rowOff>
    </xdr:from>
    <xdr:to>
      <xdr:col>0</xdr:col>
      <xdr:colOff>4381500</xdr:colOff>
      <xdr:row>160</xdr:row>
      <xdr:rowOff>57150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3581400" y="10877550"/>
          <a:ext cx="80010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8-2-1,F,1,#3]" advise="1">
        <values>
          <value>
            <val>20068827</val>
          </value>
        </values>
      </ddeItem>
      <ddeItem name="@CTA[8-2-1,F,2,#3]" advise="1">
        <values>
          <value>
            <val>3337968</val>
          </value>
        </values>
      </ddeItem>
      <ddeItem name="@CTA[8-2-1,F,3,#3]" advise="1">
        <values>
          <value>
            <val>2326852</val>
          </value>
        </values>
      </ddeItem>
      <ddeItem name="@CTA[8-2-1,F,4,#3]" advise="1">
        <values>
          <value>
            <val>1832177</val>
          </value>
        </values>
      </ddeItem>
      <ddeItem name="@CTA[8-2-1,F,5,#3]" advise="1">
        <values>
          <value>
            <val>3071541</val>
          </value>
        </values>
      </ddeItem>
      <ddeItem name="@CTA[8-2-1,F,6,#3]" advise="1">
        <values>
          <value>
            <val>1147631</val>
          </value>
        </values>
      </ddeItem>
      <ddeItem name="@CTA[8-2-1,F,7,#3]" advise="1">
        <values>
          <value>
            <val>4662045</val>
          </value>
        </values>
      </ddeItem>
      <ddeItem name="@CTA[8-2-1,F,8,#3]" advise="1">
        <values>
          <value>
            <val>1047753</val>
          </value>
        </values>
      </ddeItem>
      <ddeItem name="@CTA[8-2-1,F,9,#3]" advise="1">
        <values>
          <value>
            <val>14955558</val>
          </value>
        </values>
      </ddeItem>
      <ddeItem name="@CTA[8-2-1-1-1,F,#5]" advise="1">
        <values>
          <value>
            <val>9706928</val>
          </value>
        </values>
      </ddeItem>
      <ddeItem name="@CTA[8-2-1-1-2,F,#5]" advise="1">
        <values>
          <value>
            <val>760618</val>
          </value>
        </values>
      </ddeItem>
      <ddeItem name="@CTA[8-2-1-1-3,F,#5]" advise="1">
        <values>
          <value>
            <val>2004291</val>
          </value>
        </values>
      </ddeItem>
      <ddeItem name="@CTA[8-2-1-1-4,F,#5]" advise="1">
        <values>
          <value>
            <val>2469709</val>
          </value>
        </values>
      </ddeItem>
      <ddeItem name="@CTA[8-2-1-1-5,F,#5]" advise="1">
        <values>
          <value>
            <val>2642852</val>
          </value>
        </values>
      </ddeItem>
      <ddeItem name="@CTA[8-2-1-1-6,F,#5]" advise="1">
        <values>
          <value t="nil">
            <val>1</val>
          </value>
        </values>
      </ddeItem>
      <ddeItem name="@CTA[8-2-1-1-7,F,#5]" advise="1">
        <values>
          <value t="nil">
            <val>1</val>
          </value>
        </values>
      </ddeItem>
      <ddeItem name="@CTA[8-2-1-2-1,F,#5]" advise="1">
        <values>
          <value>
            <val>379285</val>
          </value>
        </values>
      </ddeItem>
      <ddeItem name="@CTA[8-2-1-2-2,F,#5]" advise="1">
        <values>
          <value>
            <val>60744</val>
          </value>
        </values>
      </ddeItem>
      <ddeItem name="@CTA[8-2-1-2-3,F,#5]" advise="1">
        <values>
          <value t="nil">
            <val>1</val>
          </value>
        </values>
      </ddeItem>
      <ddeItem name="@CTA[8-2-1-2-4,F,#5]" advise="1">
        <values>
          <value>
            <val>3266572</val>
          </value>
        </values>
      </ddeItem>
      <ddeItem name="@CTA[8-2-1-2-5,F,#5]" advise="1">
        <values>
          <value>
            <val>561905</val>
          </value>
        </values>
      </ddeItem>
      <ddeItem name="@CTA[8-2-1-2-6,F,#5]" advise="1">
        <values>
          <value>
            <val>747675</val>
          </value>
        </values>
      </ddeItem>
      <ddeItem name="@CTA[8-2-1-2-7,F,#5]" advise="1">
        <values>
          <value>
            <val>424669</val>
          </value>
        </values>
      </ddeItem>
      <ddeItem name="@CTA[8-2-1-2-8,F,#5]" advise="1">
        <values>
          <value t="nil">
            <val>1</val>
          </value>
        </values>
      </ddeItem>
      <ddeItem name="@CTA[8-2-1-2-9,F,#5]" advise="1">
        <values>
          <value>
            <val>135195</val>
          </value>
        </values>
      </ddeItem>
      <ddeItem name="@CTA[8-2-1-3-1,F,#5]" advise="1">
        <values>
          <value>
            <val>6840651</val>
          </value>
        </values>
      </ddeItem>
      <ddeItem name="@CTA[8-2-1-3-2,F,#5]" advise="1">
        <values>
          <value>
            <val>29200</val>
          </value>
        </values>
      </ddeItem>
      <ddeItem name="@CTA[8-2-1-3-3,F,#5]" advise="1">
        <values>
          <value>
            <val>3277512</val>
          </value>
        </values>
      </ddeItem>
      <ddeItem name="@CTA[8-2-1-3-4,F,#5]" advise="1">
        <values>
          <value>
            <val>549939</val>
          </value>
        </values>
      </ddeItem>
      <ddeItem name="@CTA[8-2-1-3-5,F,#5]" advise="1">
        <values>
          <value>
            <val>2142328</val>
          </value>
        </values>
      </ddeItem>
      <ddeItem name="@CTA[8-2-1-3-6,F,#5]" advise="1">
        <values>
          <value>
            <val>151000</val>
          </value>
        </values>
      </ddeItem>
      <ddeItem name="@CTA[8-2-1-3-7,F,#5]" advise="1">
        <values>
          <value>
            <val>39600</val>
          </value>
        </values>
      </ddeItem>
      <ddeItem name="@CTA[8-2-1-3-8,F,#5]" advise="1">
        <values>
          <value>
            <val>178000</val>
          </value>
        </values>
      </ddeItem>
      <ddeItem name="@CTA[8-2-1-3-9,F,#5]" advise="1">
        <values>
          <value>
            <val>2463702</val>
          </value>
        </values>
      </ddeItem>
      <ddeItem name="@CTA[8-2-1-5-1,F,#5]" advise="1">
        <values>
          <value>
            <val>479757</val>
          </value>
        </values>
      </ddeItem>
      <ddeItem name="@CTA[8-2-1-5-2,F,#5]" advise="1">
        <values>
          <value>
            <val>4400</val>
          </value>
        </values>
      </ddeItem>
      <ddeItem name="@CTA[8-2-1-5-3,F,#5]" advise="1">
        <values>
          <value>
            <val>0</val>
          </value>
        </values>
      </ddeItem>
      <ddeItem name="@CTA[8-2-1-5-4,F,#5]" advise="1">
        <values>
          <value>
            <val>23400</val>
          </value>
        </values>
      </ddeItem>
      <ddeItem name="@CTA[8-2-1-5-5,F,#5]" advise="1">
        <values>
          <value>
            <val>0</val>
          </value>
        </values>
      </ddeItem>
      <ddeItem name="@CTA[8-2-1-5-6,F,#5]" advise="1">
        <values>
          <value>
            <val>87891</val>
          </value>
        </values>
      </ddeItem>
      <ddeItem name="@CTA[8-2-1-5-7,F,#5]" advise="1">
        <values>
          <value t="nil">
            <val>1</val>
          </value>
        </values>
      </ddeItem>
      <ddeItem name="@CTA[8-2-1-5-8,F,#5]" advise="1">
        <values>
          <value>
            <val>0</val>
          </value>
        </values>
      </ddeItem>
      <ddeItem name="@CTA[8-2-1-5-9,F,#5]" advise="1">
        <values>
          <value>
            <val>812518</val>
          </value>
        </values>
      </ddeItem>
      <ddeItem name="@CTA[8-2-1-6-1,F,#5]" advise="1">
        <values>
          <value>
            <val>11790011</val>
          </value>
        </values>
      </ddeItem>
      <ddeItem name="@CTA[8-2-1-6-2-6221,F,#6]" advise="1">
        <values>
          <value>
            <val>420000</val>
          </value>
        </values>
      </ddeItem>
      <ddeItem name="@CTA[8-2-1-6-3,F,#5]" advise="1">
        <values>
          <value t="nil">
            <val>1</val>
          </value>
        </values>
      </ddeItem>
      <ddeItem name="@CTA[8-2-1-7-1,F,#5]" advise="1">
        <values>
          <value t="nil">
            <val>1</val>
          </value>
        </values>
      </ddeItem>
      <ddeItem name="@CTA[8-2-1-7-2,F,#5]" advise="1">
        <values>
          <value t="nil">
            <val>1</val>
          </value>
        </values>
      </ddeItem>
      <ddeItem name="@CTA[8-2-1-7-3,F,#5]" advise="1">
        <values>
          <value t="nil">
            <val>1</val>
          </value>
        </values>
      </ddeItem>
      <ddeItem name="@CTA[8-2-1-7-4,F,#5]" advise="1">
        <values>
          <value t="nil">
            <val>1</val>
          </value>
        </values>
      </ddeItem>
      <ddeItem name="@CTA[8-2-1-7-5,F,#5]" advise="1">
        <values>
          <value t="nil">
            <val>1</val>
          </value>
        </values>
      </ddeItem>
      <ddeItem name="@CTA[8-2-1-7-6,F,#5]" advise="1">
        <values>
          <value t="nil">
            <val>1</val>
          </value>
        </values>
      </ddeItem>
      <ddeItem name="@CTA[8-2-1-7-9,F,#5]" advise="1">
        <values>
          <value t="nil">
            <val>1</val>
          </value>
        </values>
      </ddeItem>
      <ddeItem name="@CTA[8-2-1-8-1,F,#5]" advise="1">
        <values>
          <value t="nil">
            <val>1</val>
          </value>
        </values>
      </ddeItem>
      <ddeItem name="@CTA[8-2-1-8-3,F,#5]" advise="1">
        <values>
          <value t="nil">
            <val>1</val>
          </value>
        </values>
      </ddeItem>
      <ddeItem name="@CTA[8-2-1-8-5,F,#5]" advise="1">
        <values>
          <value t="nil">
            <val>1</val>
          </value>
        </values>
      </ddeItem>
      <ddeItem name="@CTA[8-2-1-9-1,F,#5]" advise="1">
        <values>
          <value t="nil">
            <val>1</val>
          </value>
        </values>
      </ddeItem>
      <ddeItem name="@CTA[8-2-1-9-2,F,#5]" advise="1">
        <values>
          <value t="nil">
            <val>1</val>
          </value>
        </values>
      </ddeItem>
      <ddeItem name="@CTA[8-2-1-9-3,F,#5]" advise="1">
        <values>
          <value t="nil">
            <val>1</val>
          </value>
        </values>
      </ddeItem>
      <ddeItem name="@CTA[8-2-1-9-4,F,#5]" advise="1">
        <values>
          <value t="nil">
            <val>1</val>
          </value>
        </values>
      </ddeItem>
      <ddeItem name="@CTA[8-2-1-9-5,F,#5]" advise="1">
        <values>
          <value t="nil">
            <val>1</val>
          </value>
        </values>
      </ddeItem>
      <ddeItem name="@CTA[8-2-1-9-6,F,#5]" advise="1">
        <values>
          <value t="nil">
            <val>1</val>
          </value>
        </values>
      </ddeItem>
      <ddeItem name="@CTA[8-2-1-9-9,F,#5]" advise="1">
        <values>
          <value t="nil">
            <val>1</val>
          </value>
        </values>
      </ddeItem>
      <ddeItem name="@CTA[8-2-3,F,1,#3]" advise="1">
        <values>
          <value>
            <val>289179.76000000327</val>
          </value>
        </values>
      </ddeItem>
      <ddeItem name="@CTA[8-2-3,F,2,#3]" advise="1">
        <values>
          <value>
            <val>20510.060000001165</val>
          </value>
        </values>
      </ddeItem>
      <ddeItem name="@CTA[8-2-3,F,3,#3]" advise="1">
        <values>
          <value>
            <val>205226.80999999985</val>
          </value>
        </values>
      </ddeItem>
      <ddeItem name="@CTA[8-2-3,F,4,#3]" advise="1">
        <values>
          <value>
            <val>26041.859999999884</val>
          </value>
        </values>
      </ddeItem>
      <ddeItem name="@CTA[8-2-3,F,5,#3]" advise="1">
        <values>
          <value>
            <val>328670.80000000005</val>
          </value>
        </values>
      </ddeItem>
      <ddeItem name="@CTA[8-2-3,F,6,#3]" advise="1">
        <values>
          <value>
            <val>10495.96999999997</val>
          </value>
        </values>
      </ddeItem>
      <ddeItem name="@CTA[8-2-3,F,7,#3]" advise="1">
        <values>
          <value>
            <val>31731.379999999303</val>
          </value>
        </values>
      </ddeItem>
      <ddeItem name="@CTA[8-2-3,F,8,#3]" advise="1">
        <values>
          <value>
            <val>13726.250000000116</val>
          </value>
        </values>
      </ddeItem>
      <ddeItem name="@CTA[8-2-3,F,9,#3]" advise="1">
        <values>
          <value>
            <val>6790887.2600000035</val>
          </value>
        </values>
      </ddeItem>
      <ddeItem name="@CTA[8-2-3-1-1,F,#5]" advise="1">
        <values>
          <value>
            <val>-1.1641532182693481E-10</val>
          </value>
        </values>
      </ddeItem>
      <ddeItem name="@CTA[8-2-3-1-2,F,#5]" advise="1">
        <values>
          <value>
            <val>0</val>
          </value>
        </values>
      </ddeItem>
      <ddeItem name="@CTA[8-2-3-1-3,F,#5]" advise="1">
        <values>
          <value>
            <val>334103.89000000025</val>
          </value>
        </values>
      </ddeItem>
      <ddeItem name="@CTA[8-2-3-1-4,F,#5]" advise="1">
        <values>
          <value>
            <val>277140.60000000003</val>
          </value>
        </values>
      </ddeItem>
      <ddeItem name="@CTA[8-2-3-1-5,F,#5]" advise="1">
        <values>
          <value>
            <val>140219.11000000004</val>
          </value>
        </values>
      </ddeItem>
      <ddeItem name="@CTA[8-2-3-1-6,F,#5]" advise="1">
        <values>
          <value t="nil">
            <val>1</val>
          </value>
        </values>
      </ddeItem>
      <ddeItem name="@CTA[8-2-3-1-7,F,#5]" advise="1">
        <values>
          <value t="nil">
            <val>1</val>
          </value>
        </values>
      </ddeItem>
      <ddeItem name="@CTA[8-2-3-2-1,F,#5]" advise="1">
        <values>
          <value>
            <val>6.0000000029103828E-2</val>
          </value>
        </values>
      </ddeItem>
      <ddeItem name="@CTA[8-2-3-2-2,F,#5]" advise="1">
        <values>
          <value>
            <val>4.0000000007275958E-2</val>
          </value>
        </values>
      </ddeItem>
      <ddeItem name="@CTA[8-2-3-2-3,F,#5]" advise="1">
        <values>
          <value t="nil">
            <val>1</val>
          </value>
        </values>
      </ddeItem>
      <ddeItem name="@CTA[8-2-3-2-4,F,#5]" advise="1">
        <values>
          <value>
            <val>-3800</val>
          </value>
        </values>
      </ddeItem>
      <ddeItem name="@CTA[8-2-3-2-5,F,#5]" advise="1">
        <values>
          <value>
            <val>-8.7311491370201111E-11</val>
          </value>
        </values>
      </ddeItem>
      <ddeItem name="@CTA[8-2-3-2-6,F,#5]" advise="1">
        <values>
          <value>
            <val>0</val>
          </value>
        </values>
      </ddeItem>
      <ddeItem name="@CTA[8-2-3-2-7,F,#5]" advise="1">
        <values>
          <value>
            <val>-2.9103830456733704E-11</val>
          </value>
        </values>
      </ddeItem>
      <ddeItem name="@CTA[8-2-3-2-8,F,#5]" advise="1">
        <values>
          <value t="nil">
            <val>1</val>
          </value>
        </values>
      </ddeItem>
      <ddeItem name="@CTA[8-2-3-2-9,F,#5]" advise="1">
        <values>
          <value>
            <val>7.2759576141834259E-12</val>
          </value>
        </values>
      </ddeItem>
      <ddeItem name="@CTA[8-2-3-3-1,F,#5]" advise="1">
        <values>
          <value>
            <val>-64888.559999999823</val>
          </value>
        </values>
      </ddeItem>
      <ddeItem name="@CTA[8-2-3-3-2,F,#5]" advise="1">
        <values>
          <value>
            <val>0</val>
          </value>
        </values>
      </ddeItem>
      <ddeItem name="@CTA[8-2-3-3-3,F,#5]" advise="1">
        <values>
          <value>
            <val>-263625.99999999907</val>
          </value>
        </values>
      </ddeItem>
      <ddeItem name="@CTA[8-2-3-3-4,F,#5]" advise="1">
        <values>
          <value>
            <val>138020.32</val>
          </value>
        </values>
      </ddeItem>
      <ddeItem name="@CTA[8-2-3-3-5,F,#5]" advise="1">
        <values>
          <value>
            <val>1.1641532182693481E-10</val>
          </value>
        </values>
      </ddeItem>
      <ddeItem name="@CTA[8-2-3-3-6,F,#5]" advise="1">
        <values>
          <value>
            <val>-70906.320000000007</val>
          </value>
        </values>
      </ddeItem>
      <ddeItem name="@CTA[8-2-3-3-7,F,#5]" advise="1">
        <values>
          <value>
            <val>7.2759576141834259E-12</val>
          </value>
        </values>
      </ddeItem>
      <ddeItem name="@CTA[8-2-3-3-8,F,#5]" advise="1">
        <values>
          <value>
            <val>2.9103830456733704E-11</val>
          </value>
        </values>
      </ddeItem>
      <ddeItem name="@CTA[8-2-3-3-9,F,#5]" advise="1">
        <values>
          <value>
            <val>31031.000000000291</val>
          </value>
        </values>
      </ddeItem>
      <ddeItem name="@CTA[8-2-3-5-1,F,#5]" advise="1">
        <values>
          <value>
            <val>61317</val>
          </value>
        </values>
      </ddeItem>
      <ddeItem name="@CTA[8-2-3-5-2,F,#5]" advise="1">
        <values>
          <value>
            <val>-1.8189894035458565E-12</val>
          </value>
        </values>
      </ddeItem>
      <ddeItem name="@CTA[8-2-3-5-3,F,#5]" advise="1">
        <values>
          <value>
            <val>0</val>
          </value>
        </values>
      </ddeItem>
      <ddeItem name="@CTA[8-2-3-5-4,F,#5]" advise="1">
        <values>
          <value>
            <val>25000</val>
          </value>
        </values>
      </ddeItem>
      <ddeItem name="@CTA[8-2-3-5-5,F,#5]" advise="1">
        <values>
          <value>
            <val>0</val>
          </value>
        </values>
      </ddeItem>
      <ddeItem name="@CTA[8-2-3-5-6,F,#5]" advise="1">
        <values>
          <value>
            <val>9268.9999999999418</val>
          </value>
        </values>
      </ddeItem>
      <ddeItem name="@CTA[8-2-3-5-7,F,#5]" advise="1">
        <values>
          <value t="nil">
            <val>1</val>
          </value>
        </values>
      </ddeItem>
      <ddeItem name="@CTA[8-2-3-5-8,F,#5]" advise="1">
        <values>
          <value>
            <val>0</val>
          </value>
        </values>
      </ddeItem>
      <ddeItem name="@CTA[8-2-3-5-9,F,#5]" advise="1">
        <values>
          <value>
            <val>-4.6566128730773926E-10</val>
          </value>
        </values>
      </ddeItem>
      <ddeItem name="@CTA[8-2-3-6-1,F,#5]" advise="1">
        <values>
          <value>
            <val>7403590.0100000016</val>
          </value>
        </values>
      </ddeItem>
      <ddeItem name="@CTA[8-2-3-6-2-6221,F,#6]" advise="1">
        <values>
          <value>
            <val>-300000</val>
          </value>
        </values>
      </ddeItem>
      <ddeItem name="@CTA[8-2-3-6-3,F,#5]" advise="1">
        <values>
          <value t="nil">
            <val>1</val>
          </value>
        </values>
      </ddeItem>
      <ddeItem name="@CTA[8-2-3-7-1,F,#5]" advise="1">
        <values>
          <value t="nil">
            <val>1</val>
          </value>
        </values>
      </ddeItem>
      <ddeItem name="@CTA[8-2-3-7-2,F,#5]" advise="1">
        <values>
          <value t="nil">
            <val>1</val>
          </value>
        </values>
      </ddeItem>
      <ddeItem name="@CTA[8-2-3-7-3,F,#5]" advise="1">
        <values>
          <value t="nil">
            <val>1</val>
          </value>
        </values>
      </ddeItem>
      <ddeItem name="@CTA[8-2-3-7-4,F,#5]" advise="1">
        <values>
          <value t="nil">
            <val>1</val>
          </value>
        </values>
      </ddeItem>
      <ddeItem name="@CTA[8-2-3-7-5,F,#5]" advise="1">
        <values>
          <value t="nil">
            <val>1</val>
          </value>
        </values>
      </ddeItem>
      <ddeItem name="@CTA[8-2-3-7-6,F,#5]" advise="1">
        <values>
          <value t="nil">
            <val>1</val>
          </value>
        </values>
      </ddeItem>
      <ddeItem name="@CTA[8-2-3-7-9,F,#5]" advise="1">
        <values>
          <value t="nil">
            <val>1</val>
          </value>
        </values>
      </ddeItem>
      <ddeItem name="@CTA[8-2-3-8-1,F,#5]" advise="1">
        <values>
          <value t="nil">
            <val>1</val>
          </value>
        </values>
      </ddeItem>
      <ddeItem name="@CTA[8-2-3-8-3,F,#5]" advise="1">
        <values>
          <value t="nil">
            <val>1</val>
          </value>
        </values>
      </ddeItem>
      <ddeItem name="@CTA[8-2-3-8-5,F,#5]" advise="1">
        <values>
          <value t="nil">
            <val>1</val>
          </value>
        </values>
      </ddeItem>
      <ddeItem name="@CTA[8-2-3-9-1,F,#5]" advise="1">
        <values>
          <value t="nil">
            <val>1</val>
          </value>
        </values>
      </ddeItem>
      <ddeItem name="@CTA[8-2-3-9-2,F,#5]" advise="1">
        <values>
          <value t="nil">
            <val>1</val>
          </value>
        </values>
      </ddeItem>
      <ddeItem name="@CTA[8-2-3-9-3,F,#5]" advise="1">
        <values>
          <value t="nil">
            <val>1</val>
          </value>
        </values>
      </ddeItem>
      <ddeItem name="@CTA[8-2-3-9-4,F,#5]" advise="1">
        <values>
          <value t="nil">
            <val>1</val>
          </value>
        </values>
      </ddeItem>
      <ddeItem name="@CTA[8-2-3-9-5,F,#5]" advise="1">
        <values>
          <value t="nil">
            <val>1</val>
          </value>
        </values>
      </ddeItem>
      <ddeItem name="@CTA[8-2-3-9-6,F,#5]" advise="1">
        <values>
          <value t="nil">
            <val>1</val>
          </value>
        </values>
      </ddeItem>
      <ddeItem name="@CTA[8-2-3-9-9,F,#5]" advise="1">
        <values>
          <value t="nil">
            <val>1</val>
          </value>
        </values>
      </ddeItem>
      <ddeItem name="@CTA[8-2-4,J,1,#3]" advise="1">
        <values>
          <value>
            <val>9630257.9199999999</val>
          </value>
        </values>
      </ddeItem>
      <ddeItem name="@CTA[8-2-4,J,2,#3]" advise="1">
        <values>
          <value>
            <val>1458653.3900000001</val>
          </value>
        </values>
      </ddeItem>
      <ddeItem name="@CTA[8-2-4,J,3,#3]" advise="1">
        <values>
          <value>
            <val>1030613.95</val>
          </value>
        </values>
      </ddeItem>
      <ddeItem name="@CTA[8-2-4,J,4,#3]" advise="1">
        <values>
          <value>
            <val>844282.51000000013</val>
          </value>
        </values>
      </ddeItem>
      <ddeItem name="@CTA[8-2-4,J,5,#3]" advise="1">
        <values>
          <value>
            <val>1550171.7900000003</val>
          </value>
        </values>
      </ddeItem>
      <ddeItem name="@CTA[8-2-4,J,6,#3]" advise="1">
        <values>
          <value>
            <val>280355.5</val>
          </value>
        </values>
      </ddeItem>
      <ddeItem name="@CTA[8-2-4,J,7,#3]" advise="1">
        <values>
          <value>
            <val>2467193.0100000002</val>
          </value>
        </values>
      </ddeItem>
      <ddeItem name="@CTA[8-2-4,J,8,#3]" advise="1">
        <values>
          <value>
            <val>364375.56000000006</val>
          </value>
        </values>
      </ddeItem>
      <ddeItem name="@CTA[8-2-4,J,9,#3]" advise="1">
        <values>
          <value>
            <val>5208257.4400000004</val>
          </value>
        </values>
      </ddeItem>
      <ddeItem name="@CTA[8-2-5-1-1,J,#5]" advise="1">
        <values>
          <value>
            <val>4410538.49</val>
          </value>
        </values>
      </ddeItem>
      <ddeItem name="@CTA[8-2-5-1-2,J,#5]" advise="1">
        <values>
          <value>
            <val>263970.15999999997</val>
          </value>
        </values>
      </ddeItem>
      <ddeItem name="@CTA[8-2-5-1-3,J,#5]" advise="1">
        <values>
          <value>
            <val>596242.55000000005</val>
          </value>
        </values>
      </ddeItem>
      <ddeItem name="@CTA[8-2-5-1-4,J,#5]" advise="1">
        <values>
          <value>
            <val>1191072.8900000001</val>
          </value>
        </values>
      </ddeItem>
      <ddeItem name="@CTA[8-2-5-1-5,J,#5]" advise="1">
        <values>
          <value>
            <val>1251719.49</val>
          </value>
        </values>
      </ddeItem>
      <ddeItem name="@CTA[8-2-5-1-6,J,#5]" advise="1">
        <values>
          <value t="nil">
            <val>1</val>
          </value>
        </values>
      </ddeItem>
      <ddeItem name="@CTA[8-2-5-1-7,J,#5]" advise="1">
        <values>
          <value t="nil">
            <val>1</val>
          </value>
        </values>
      </ddeItem>
      <ddeItem name="@CTA[8-2-5-2-1,J,#5]" advise="1">
        <values>
          <value>
            <val>83159.5</val>
          </value>
        </values>
      </ddeItem>
      <ddeItem name="@CTA[8-2-5-2-2,J,#5]" advise="1">
        <values>
          <value>
            <val>37282.94</val>
          </value>
        </values>
      </ddeItem>
      <ddeItem name="@CTA[8-2-5-2-3,J,#5]" advise="1">
        <values>
          <value t="nil">
            <val>1</val>
          </value>
        </values>
      </ddeItem>
      <ddeItem name="@CTA[8-2-5-2-4,J,#5]" advise="1">
        <values>
          <value>
            <val>1228929.73</val>
          </value>
        </values>
      </ddeItem>
      <ddeItem name="@CTA[8-2-5-2-5,J,#5]" advise="1">
        <values>
          <value>
            <val>250590.95</val>
          </value>
        </values>
      </ddeItem>
      <ddeItem name="@CTA[8-2-5-2-6,J,#5]" advise="1">
        <values>
          <value>
            <val>334819.74</val>
          </value>
        </values>
      </ddeItem>
      <ddeItem name="@CTA[8-2-5-2-7,J,#5]" advise="1">
        <values>
          <value>
            <val>151710.32</val>
          </value>
        </values>
      </ddeItem>
      <ddeItem name="@CTA[8-2-5-2-8,J,#5]" advise="1">
        <values>
          <value t="nil">
            <val>1</val>
          </value>
        </values>
      </ddeItem>
      <ddeItem name="@CTA[8-2-5-2-9,J,#5]" advise="1">
        <values>
          <value>
            <val>49146.28</val>
          </value>
        </values>
      </ddeItem>
      <ddeItem name="@CTA[8-2-5-3-1,J,#5]" advise="1">
        <values>
          <value>
            <val>4166742.3099999991</val>
          </value>
        </values>
      </ddeItem>
      <ddeItem name="@CTA[8-2-5-3-2,J,#5]" advise="1">
        <values>
          <value>
            <val>2678.1900000000005</val>
          </value>
        </values>
      </ddeItem>
      <ddeItem name="@CTA[8-2-5-3-3,J,#5]" advise="1">
        <values>
          <value>
            <val>1122282.1199999999</val>
          </value>
        </values>
      </ddeItem>
      <ddeItem name="@CTA[8-2-5-3-4,J,#5]" advise="1">
        <values>
          <value>
            <val>305308.66000000003</val>
          </value>
        </values>
      </ddeItem>
      <ddeItem name="@CTA[8-2-5-3-5,J,#5]" advise="1">
        <values>
          <value>
            <val>1592341.7799999998</val>
          </value>
        </values>
      </ddeItem>
      <ddeItem name="@CTA[8-2-5-3-6,J,#5]" advise="1">
        <values>
          <value>
            <val>36460.550000000003</val>
          </value>
        </values>
      </ddeItem>
      <ddeItem name="@CTA[8-2-5-3-7,J,#5]" advise="1">
        <values>
          <value>
            <val>2801.01</val>
          </value>
        </values>
      </ddeItem>
      <ddeItem name="@CTA[8-2-5-3-8,J,#5]" advise="1">
        <values>
          <value>
            <val>56622.05</val>
          </value>
        </values>
      </ddeItem>
      <ddeItem name="@CTA[8-2-5-3-9,J,#5]" advise="1">
        <values>
          <value>
            <val>1053953.7</val>
          </value>
        </values>
      </ddeItem>
      <ddeItem name="@CTA[8-2-5-5-1,J,#5]" advise="1">
        <values>
          <value>
            <val>8864.64</val>
          </value>
        </values>
      </ddeItem>
      <ddeItem name="@CTA[8-2-5-5-2,J,#5]" advise="1">
        <values>
          <value>
            <val>24059.22</val>
          </value>
        </values>
      </ddeItem>
      <ddeItem name="@CTA[8-2-5-5-3,J,#5]" advise="1">
        <values>
          <value>
            <val>0</val>
          </value>
        </values>
      </ddeItem>
      <ddeItem name="@CTA[8-2-5-5-4,J,#5]" advise="1">
        <values>
          <value>
            <val>22758.62</val>
          </value>
        </values>
      </ddeItem>
      <ddeItem name="@CTA[8-2-5-5-5,J,#5]" advise="1">
        <values>
          <value>
            <val>0</val>
          </value>
        </values>
      </ddeItem>
      <ddeItem name="@CTA[8-2-5-5-6,J,#5]" advise="1">
        <values>
          <value>
            <val>4878</val>
          </value>
        </values>
      </ddeItem>
      <ddeItem name="@CTA[8-2-5-5-7,J,#5]" advise="1">
        <values>
          <value t="nil">
            <val>1</val>
          </value>
        </values>
      </ddeItem>
      <ddeItem name="@CTA[8-2-5-5-8,J,#5]" advise="1">
        <values>
          <value>
            <val>0</val>
          </value>
        </values>
      </ddeItem>
      <ddeItem name="@CTA[8-2-5-5-9,J,#5]" advise="1">
        <values>
          <value>
            <val>0</val>
          </value>
        </values>
      </ddeItem>
      <ddeItem name="@CTA[8-2-5-6-1,J,#5]" advise="1">
        <values>
          <value>
            <val>4585227.18</val>
          </value>
        </values>
      </ddeItem>
      <ddeItem name="@CTA[8-2-5-6-2-6221,J,#6]" advise="1">
        <values>
          <value t="nil">
            <val>1</val>
          </value>
        </values>
      </ddeItem>
      <ddeItem name="@CTA[8-2-5-6-3,J,#5]" advise="1">
        <values>
          <value t="nil">
            <val>1</val>
          </value>
        </values>
      </ddeItem>
      <ddeItem name="@CTA[8-2-5-7-1,J,#5]" advise="1">
        <values>
          <value t="nil">
            <val>1</val>
          </value>
        </values>
      </ddeItem>
      <ddeItem name="@CTA[8-2-5-7-2,J,#5]" advise="1">
        <values>
          <value t="nil">
            <val>1</val>
          </value>
        </values>
      </ddeItem>
      <ddeItem name="@CTA[8-2-5-7-3,J,#5]" advise="1">
        <values>
          <value t="nil">
            <val>1</val>
          </value>
        </values>
      </ddeItem>
      <ddeItem name="@CTA[8-2-5-7-4,J,#5]" advise="1">
        <values>
          <value t="nil">
            <val>1</val>
          </value>
        </values>
      </ddeItem>
      <ddeItem name="@CTA[8-2-5-7-5,J,#5]" advise="1">
        <values>
          <value t="nil">
            <val>1</val>
          </value>
        </values>
      </ddeItem>
      <ddeItem name="@CTA[8-2-5-7-6,J,#5]" advise="1">
        <values>
          <value t="nil">
            <val>1</val>
          </value>
        </values>
      </ddeItem>
      <ddeItem name="@CTA[8-2-5-7-9,J,#5]" advise="1">
        <values>
          <value t="nil">
            <val>1</val>
          </value>
        </values>
      </ddeItem>
      <ddeItem name="@CTA[8-2-5-8-1,J,#5]" advise="1">
        <values>
          <value t="nil">
            <val>1</val>
          </value>
        </values>
      </ddeItem>
      <ddeItem name="@CTA[8-2-5-8-3,J,#5]" advise="1">
        <values>
          <value t="nil">
            <val>1</val>
          </value>
        </values>
      </ddeItem>
      <ddeItem name="@CTA[8-2-5-8-5,J,#5]" advise="1">
        <values>
          <value t="nil">
            <val>1</val>
          </value>
        </values>
      </ddeItem>
      <ddeItem name="@CTA[8-2-5-9-1,J,#5]" advise="1">
        <values>
          <value t="nil">
            <val>1</val>
          </value>
        </values>
      </ddeItem>
      <ddeItem name="@CTA[8-2-5-9-2,J,#5]" advise="1">
        <values>
          <value t="nil">
            <val>1</val>
          </value>
        </values>
      </ddeItem>
      <ddeItem name="@CTA[8-2-5-9-3,J,#5]" advise="1">
        <values>
          <value t="nil">
            <val>1</val>
          </value>
        </values>
      </ddeItem>
      <ddeItem name="@CTA[8-2-5-9-4,J,#5]" advise="1">
        <values>
          <value t="nil">
            <val>1</val>
          </value>
        </values>
      </ddeItem>
      <ddeItem name="@CTA[8-2-5-9-5,J,#5]" advise="1">
        <values>
          <value t="nil">
            <val>1</val>
          </value>
        </values>
      </ddeItem>
      <ddeItem name="@CTA[8-2-5-9-6,J,#5]" advise="1">
        <values>
          <value t="nil">
            <val>1</val>
          </value>
        </values>
      </ddeItem>
      <ddeItem name="@CTA[8-2-5-9-9,J,#5]" advise="1">
        <values>
          <value t="nil">
            <val>1</val>
          </value>
        </values>
      </ddeItem>
      <ddeItem name="@CTA[8-2-7,F,1,#3]" advise="1">
        <values>
          <value>
            <val>9188621.3799999952</val>
          </value>
        </values>
      </ddeItem>
      <ddeItem name="@CTA[8-2-7,F,2,#3]" advise="1">
        <values>
          <value>
            <val>1381770.6300000006</val>
          </value>
        </values>
      </ddeItem>
      <ddeItem name="@CTA[8-2-7,F,3,#3]" advise="1">
        <values>
          <value>
            <val>969777.09000000008</val>
          </value>
        </values>
      </ddeItem>
      <ddeItem name="@CTA[8-2-7,F,4,#3]" advise="1">
        <values>
          <value>
            <val>798303.86999999813</val>
          </value>
        </values>
      </ddeItem>
      <ddeItem name="@CTA[8-2-7,F,5,#3]" advise="1">
        <values>
          <value>
            <val>1491898.150000002</val>
          </value>
        </values>
      </ddeItem>
      <ddeItem name="@CTA[8-2-7,F,6,#3]" advise="1">
        <values>
          <value>
            <val>263683.17000000022</val>
          </value>
        </values>
      </ddeItem>
      <ddeItem name="@CTA[8-2-7,F,7,#3]" advise="1">
        <values>
          <value>
            <val>2324187.7100000018</val>
          </value>
        </values>
      </ddeItem>
      <ddeItem name="@CTA[8-2-7,F,8,#3]" advise="1">
        <values>
          <value>
            <val>170548.3499999996</val>
          </value>
        </values>
      </ddeItem>
      <ddeItem name="@CTA[8-2-7,F,9,#3]" advise="1">
        <values>
          <value>
            <val>5172105.8400000008</val>
          </value>
        </values>
      </ddeItem>
      <ddeItem name="@CTA[8-2-7-1-1,F,#5]" advise="1">
        <values>
          <value>
            <val>4245963.1199999973</val>
          </value>
        </values>
      </ddeItem>
      <ddeItem name="@CTA[8-2-7-1-2,F,#5]" advise="1">
        <values>
          <value>
            <val>219975.13999999969</val>
          </value>
        </values>
      </ddeItem>
      <ddeItem name="@CTA[8-2-7-1-3,F,#5]" advise="1">
        <values>
          <value>
            <val>587675.34999999905</val>
          </value>
        </values>
      </ddeItem>
      <ddeItem name="@CTA[8-2-7-1-4,F,#5]" advise="1">
        <values>
          <value>
            <val>907301.62000000104</val>
          </value>
        </values>
      </ddeItem>
      <ddeItem name="@CTA[8-2-7-1-5,F,#5]" advise="1">
        <values>
          <value>
            <val>1207614.17</val>
          </value>
        </values>
      </ddeItem>
      <ddeItem name="@CTA[8-2-7-1-6,F,#5]" advise="1">
        <values>
          <value t="nil">
            <val>1</val>
          </value>
        </values>
      </ddeItem>
      <ddeItem name="@CTA[8-2-7-1-7,F,#5]" advise="1">
        <values>
          <value t="nil">
            <val>1</val>
          </value>
        </values>
      </ddeItem>
      <ddeItem name="@CTA[8-2-7-2-1,F,#5]" advise="1">
        <values>
          <value>
            <val>83159.499999999956</val>
          </value>
        </values>
      </ddeItem>
      <ddeItem name="@CTA[8-2-7-2-2,F,#5]" advise="1">
        <values>
          <value>
            <val>36729.439999999973</val>
          </value>
        </values>
      </ddeItem>
      <ddeItem name="@CTA[8-2-7-2-3,F,#5]" advise="1">
        <values>
          <value t="nil">
            <val>1</val>
          </value>
        </values>
      </ddeItem>
      <ddeItem name="@CTA[8-2-7-2-4,F,#5]" advise="1">
        <values>
          <value>
            <val>1210842.1200000013</val>
          </value>
        </values>
      </ddeItem>
      <ddeItem name="@CTA[8-2-7-2-5,F,#5]" advise="1">
        <values>
          <value>
            <val>250518.53999999989</val>
          </value>
        </values>
      </ddeItem>
      <ddeItem name="@CTA[8-2-7-2-6,F,#5]" advise="1">
        <values>
          <value>
            <val>309022.16999999981</val>
          </value>
        </values>
      </ddeItem>
      <ddeItem name="@CTA[8-2-7-2-7,F,#5]" advise="1">
        <values>
          <value>
            <val>151710.32</val>
          </value>
        </values>
      </ddeItem>
      <ddeItem name="@CTA[8-2-7-2-8,F,#5]" advise="1">
        <values>
          <value t="nil">
            <val>1</val>
          </value>
        </values>
      </ddeItem>
      <ddeItem name="@CTA[8-2-7-2-9,F,#5]" advise="1">
        <values>
          <value>
            <val>48832.060000000012</val>
          </value>
        </values>
      </ddeItem>
      <ddeItem name="@CTA[8-2-7-3-1,F,#5]" advise="1">
        <values>
          <value>
            <val>3770707.6999999993</val>
          </value>
        </values>
      </ddeItem>
      <ddeItem name="@CTA[8-2-7-3-2,F,#5]" advise="1">
        <values>
          <value>
            <val>2583.3600000000047</val>
          </value>
        </values>
      </ddeItem>
      <ddeItem name="@CTA[8-2-7-3-3,F,#5]" advise="1">
        <values>
          <value>
            <val>1119996.4000000004</val>
          </value>
        </values>
      </ddeItem>
      <ddeItem name="@CTA[8-2-7-3-4,F,#5]" advise="1">
        <values>
          <value>
            <val>305308.66000000021</val>
          </value>
        </values>
      </ddeItem>
      <ddeItem name="@CTA[8-2-7-3-5,F,#5]" advise="1">
        <values>
          <value>
            <val>1527796.9499999983</val>
          </value>
        </values>
      </ddeItem>
      <ddeItem name="@CTA[8-2-7-3-6,F,#5]" advise="1">
        <values>
          <value>
            <val>36163.999999999978</val>
          </value>
        </values>
      </ddeItem>
      <ddeItem name="@CTA[8-2-7-3-7,F,#5]" advise="1">
        <values>
          <value>
            <val>2776.0000000000009</val>
          </value>
        </values>
      </ddeItem>
      <ddeItem name="@CTA[8-2-7-3-8,F,#5]" advise="1">
        <values>
          <value>
            <val>56183.26000000006</val>
          </value>
        </values>
      </ddeItem>
      <ddeItem name="@CTA[8-2-7-3-9,F,#5]" advise="1">
        <values>
          <value>
            <val>1034248.65</val>
          </value>
        </values>
      </ddeItem>
      <ddeItem name="@CTA[8-2-7-5-1,F,#5]" advise="1">
        <values>
          <value>
            <val>8864.6400000000867</val>
          </value>
        </values>
      </ddeItem>
      <ddeItem name="@CTA[8-2-7-5-2,F,#5]" advise="1">
        <values>
          <value>
            <val>24059.22</val>
          </value>
        </values>
      </ddeItem>
      <ddeItem name="@CTA[8-2-7-5-3,F,#5]" advise="1">
        <values>
          <value>
            <val>0</val>
          </value>
        </values>
      </ddeItem>
      <ddeItem name="@CTA[8-2-7-5-4,F,#5]" advise="1">
        <values>
          <value>
            <val>22758.620000000003</val>
          </value>
        </values>
      </ddeItem>
      <ddeItem name="@CTA[8-2-7-5-5,F,#5]" advise="1">
        <values>
          <value>
            <val>0</val>
          </value>
        </values>
      </ddeItem>
      <ddeItem name="@CTA[8-2-7-5-6,F,#5]" advise="1">
        <values>
          <value>
            <val>4878</val>
          </value>
        </values>
      </ddeItem>
      <ddeItem name="@CTA[8-2-7-5-7,F,#5]" advise="1">
        <values>
          <value t="nil">
            <val>1</val>
          </value>
        </values>
      </ddeItem>
      <ddeItem name="@CTA[8-2-7-5-8,F,#5]" advise="1">
        <values>
          <value>
            <val>0</val>
          </value>
        </values>
      </ddeItem>
      <ddeItem name="@CTA[8-2-7-5-9,F,#5]" advise="1">
        <values>
          <value>
            <val>7.2759576141834259E-12</val>
          </value>
        </values>
      </ddeItem>
      <ddeItem name="@CTA[8-2-7-6-1,F,#5]" advise="1">
        <values>
          <value>
            <val>4585227.18</val>
          </value>
        </values>
      </ddeItem>
      <ddeItem name="@CTA[8-2-7-6-2-6221,F,#6]" advise="1">
        <values>
          <value t="nil">
            <val>1</val>
          </value>
        </values>
      </ddeItem>
      <ddeItem name="@CTA[8-2-7-6-3,F,#5]" advise="1">
        <values>
          <value t="nil">
            <val>1</val>
          </value>
        </values>
      </ddeItem>
      <ddeItem name="@CTA[8-2-7-7-1,F,#5]" advise="1">
        <values>
          <value t="nil">
            <val>1</val>
          </value>
        </values>
      </ddeItem>
      <ddeItem name="@CTA[8-2-7-7-2,F,#5]" advise="1">
        <values>
          <value t="nil">
            <val>1</val>
          </value>
        </values>
      </ddeItem>
      <ddeItem name="@CTA[8-2-7-7-3,F,#5]" advise="1">
        <values>
          <value t="nil">
            <val>1</val>
          </value>
        </values>
      </ddeItem>
      <ddeItem name="@CTA[8-2-7-7-4,F,#5]" advise="1">
        <values>
          <value t="nil">
            <val>1</val>
          </value>
        </values>
      </ddeItem>
      <ddeItem name="@CTA[8-2-7-7-5,F,#5]" advise="1">
        <values>
          <value t="nil">
            <val>1</val>
          </value>
        </values>
      </ddeItem>
      <ddeItem name="@CTA[8-2-7-7-6,F,#5]" advise="1">
        <values>
          <value t="nil">
            <val>1</val>
          </value>
        </values>
      </ddeItem>
      <ddeItem name="@CTA[8-2-7-7-9,F,#5]" advise="1">
        <values>
          <value t="nil">
            <val>1</val>
          </value>
        </values>
      </ddeItem>
      <ddeItem name="@CTA[8-2-7-8-1,F,#5]" advise="1">
        <values>
          <value t="nil">
            <val>1</val>
          </value>
        </values>
      </ddeItem>
      <ddeItem name="@CTA[8-2-7-8-3,F,#5]" advise="1">
        <values>
          <value t="nil">
            <val>1</val>
          </value>
        </values>
      </ddeItem>
      <ddeItem name="@CTA[8-2-7-8-5,F,#5]" advise="1">
        <values>
          <value t="nil">
            <val>1</val>
          </value>
        </values>
      </ddeItem>
      <ddeItem name="@CTA[8-2-7-9-1,F,#5]" advise="1">
        <values>
          <value t="nil">
            <val>1</val>
          </value>
        </values>
      </ddeItem>
      <ddeItem name="@CTA[8-2-7-9-2,F,#5]" advise="1">
        <values>
          <value t="nil">
            <val>1</val>
          </value>
        </values>
      </ddeItem>
      <ddeItem name="@CTA[8-2-7-9-3,F,#5]" advise="1">
        <values>
          <value t="nil">
            <val>1</val>
          </value>
        </values>
      </ddeItem>
      <ddeItem name="@CTA[8-2-7-9-4,F,#5]" advise="1">
        <values>
          <value t="nil">
            <val>1</val>
          </value>
        </values>
      </ddeItem>
      <ddeItem name="@CTA[8-2-7-9-5,F,#5]" advise="1">
        <values>
          <value t="nil">
            <val>1</val>
          </value>
        </values>
      </ddeItem>
      <ddeItem name="@CTA[8-2-7-9-6,F,#5]" advise="1">
        <values>
          <value t="nil">
            <val>1</val>
          </value>
        </values>
      </ddeItem>
      <ddeItem name="@CTA[8-2-7-9-9,F,#5]" advise="1">
        <values>
          <value t="nil">
            <val>1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showGridLines="0" tabSelected="1" workbookViewId="0">
      <selection activeCell="H3" sqref="H3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61" t="s">
        <v>155</v>
      </c>
      <c r="B1" s="62"/>
      <c r="C1" s="62"/>
      <c r="D1" s="62"/>
      <c r="E1" s="62"/>
      <c r="F1" s="62"/>
      <c r="G1" s="63"/>
    </row>
    <row r="2" spans="1:7">
      <c r="A2" s="2"/>
      <c r="B2" s="64" t="s">
        <v>0</v>
      </c>
      <c r="C2" s="64"/>
      <c r="D2" s="64"/>
      <c r="E2" s="64"/>
      <c r="F2" s="64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52450352</v>
      </c>
      <c r="C4" s="7">
        <f t="shared" ref="C4:G4" si="0">C5+C13+C23+C33+C43+C53+C57+C66+C70</f>
        <v>7716470.1500000032</v>
      </c>
      <c r="D4" s="7">
        <f t="shared" si="0"/>
        <v>60166822.150000006</v>
      </c>
      <c r="E4" s="7">
        <f t="shared" si="0"/>
        <v>22834161.069999997</v>
      </c>
      <c r="F4" s="7">
        <f t="shared" si="0"/>
        <v>21760896.189999994</v>
      </c>
      <c r="G4" s="7">
        <f t="shared" si="0"/>
        <v>37332661.079999998</v>
      </c>
    </row>
    <row r="5" spans="1:7">
      <c r="A5" s="8" t="s">
        <v>9</v>
      </c>
      <c r="B5" s="9">
        <f>SUM(B6:B12)</f>
        <v>17584398</v>
      </c>
      <c r="C5" s="9">
        <f t="shared" ref="C5:G5" si="1">SUM(C6:C12)</f>
        <v>751463.60000000033</v>
      </c>
      <c r="D5" s="9">
        <f t="shared" si="1"/>
        <v>18335861.600000001</v>
      </c>
      <c r="E5" s="9">
        <f t="shared" si="1"/>
        <v>7713543.5800000001</v>
      </c>
      <c r="F5" s="9">
        <f t="shared" si="1"/>
        <v>7168529.3999999966</v>
      </c>
      <c r="G5" s="9">
        <f t="shared" si="1"/>
        <v>10622318.019999998</v>
      </c>
    </row>
    <row r="6" spans="1:7">
      <c r="A6" s="10" t="s">
        <v>10</v>
      </c>
      <c r="B6" s="45">
        <f>[1]!'@CTA[8-2-1-1-1,F,#5]'</f>
        <v>9706928</v>
      </c>
      <c r="C6" s="45">
        <f>[1]!'@CTA[8-2-3-1-1,F,#5]'</f>
        <v>-1.1641532182693481E-10</v>
      </c>
      <c r="D6" s="45">
        <f>[1]!'@CTA[8-2-1-1-1,F,#5]'+[1]!'@CTA[8-2-3-1-1,F,#5]'</f>
        <v>9706928</v>
      </c>
      <c r="E6" s="45">
        <f>[1]!'@CTA[8-2-5-1-1,J,#5]'</f>
        <v>4410538.49</v>
      </c>
      <c r="F6" s="45">
        <f>[1]!'@CTA[8-2-7-1-1,F,#5]'</f>
        <v>4245963.1199999973</v>
      </c>
      <c r="G6" s="11">
        <f>D6-E6</f>
        <v>5296389.51</v>
      </c>
    </row>
    <row r="7" spans="1:7">
      <c r="A7" s="10" t="s">
        <v>11</v>
      </c>
      <c r="B7" s="45">
        <f>[1]!'@CTA[8-2-1-1-2,F,#5]'</f>
        <v>760618</v>
      </c>
      <c r="C7" s="45">
        <f>[1]!'@CTA[8-2-3-1-2,F,#5]'</f>
        <v>0</v>
      </c>
      <c r="D7" s="45">
        <f>[1]!'@CTA[8-2-1-1-2,F,#5]'+[1]!'@CTA[8-2-3-1-2,F,#5]'</f>
        <v>760618</v>
      </c>
      <c r="E7" s="45">
        <f>[1]!'@CTA[8-2-5-1-2,J,#5]'</f>
        <v>263970.15999999997</v>
      </c>
      <c r="F7" s="45">
        <f>[1]!'@CTA[8-2-7-1-2,F,#5]'</f>
        <v>219975.13999999969</v>
      </c>
      <c r="G7" s="11">
        <f t="shared" ref="G7:G70" si="2">D7-E7</f>
        <v>496647.84</v>
      </c>
    </row>
    <row r="8" spans="1:7">
      <c r="A8" s="10" t="s">
        <v>12</v>
      </c>
      <c r="B8" s="45">
        <f>[1]!'@CTA[8-2-1-1-3,F,#5]'</f>
        <v>2004291</v>
      </c>
      <c r="C8" s="45">
        <f>[1]!'@CTA[8-2-3-1-3,F,#5]'</f>
        <v>334103.89000000025</v>
      </c>
      <c r="D8" s="45">
        <f>[1]!'@CTA[8-2-1-1-3,F,#5]'+[1]!'@CTA[8-2-3-1-3,F,#5]'</f>
        <v>2338394.89</v>
      </c>
      <c r="E8" s="45">
        <f>[1]!'@CTA[8-2-5-1-3,J,#5]'</f>
        <v>596242.55000000005</v>
      </c>
      <c r="F8" s="45">
        <f>[1]!'@CTA[8-2-7-1-3,F,#5]'</f>
        <v>587675.34999999905</v>
      </c>
      <c r="G8" s="11">
        <f t="shared" si="2"/>
        <v>1742152.34</v>
      </c>
    </row>
    <row r="9" spans="1:7">
      <c r="A9" s="10" t="s">
        <v>13</v>
      </c>
      <c r="B9" s="45">
        <f>[1]!'@CTA[8-2-1-1-4,F,#5]'</f>
        <v>2469709</v>
      </c>
      <c r="C9" s="45">
        <f>[1]!'@CTA[8-2-3-1-4,F,#5]'</f>
        <v>277140.60000000003</v>
      </c>
      <c r="D9" s="45">
        <f>[1]!'@CTA[8-2-1-1-4,F,#5]'+[1]!'@CTA[8-2-3-1-4,F,#5]'</f>
        <v>2746849.6</v>
      </c>
      <c r="E9" s="45">
        <f>[1]!'@CTA[8-2-5-1-4,J,#5]'</f>
        <v>1191072.8900000001</v>
      </c>
      <c r="F9" s="45">
        <f>[1]!'@CTA[8-2-7-1-4,F,#5]'</f>
        <v>907301.62000000104</v>
      </c>
      <c r="G9" s="11">
        <f t="shared" si="2"/>
        <v>1555776.71</v>
      </c>
    </row>
    <row r="10" spans="1:7">
      <c r="A10" s="10" t="s">
        <v>14</v>
      </c>
      <c r="B10" s="45">
        <f>[1]!'@CTA[8-2-1-1-5,F,#5]'</f>
        <v>2642852</v>
      </c>
      <c r="C10" s="45">
        <f>[1]!'@CTA[8-2-3-1-5,F,#5]'</f>
        <v>140219.11000000004</v>
      </c>
      <c r="D10" s="45">
        <f>[1]!'@CTA[8-2-1-1-5,F,#5]'+[1]!'@CTA[8-2-3-1-5,F,#5]'</f>
        <v>2783071.11</v>
      </c>
      <c r="E10" s="45">
        <f>[1]!'@CTA[8-2-5-1-5,J,#5]'</f>
        <v>1251719.49</v>
      </c>
      <c r="F10" s="45">
        <f>[1]!'@CTA[8-2-7-1-5,F,#5]'</f>
        <v>1207614.17</v>
      </c>
      <c r="G10" s="11">
        <f t="shared" si="2"/>
        <v>1531351.6199999999</v>
      </c>
    </row>
    <row r="11" spans="1:7">
      <c r="A11" s="10" t="s">
        <v>15</v>
      </c>
      <c r="B11" s="45">
        <f>[1]!'@CTA[8-2-1-1-6,F,#5]'</f>
        <v>0</v>
      </c>
      <c r="C11" s="45">
        <f>[1]!'@CTA[8-2-3-1-6,F,#5]'</f>
        <v>0</v>
      </c>
      <c r="D11" s="45">
        <f>[1]!'@CTA[8-2-1-1-6,F,#5]'+[1]!'@CTA[8-2-3-1-6,F,#5]'</f>
        <v>0</v>
      </c>
      <c r="E11" s="45">
        <f>[1]!'@CTA[8-2-5-1-6,J,#5]'</f>
        <v>0</v>
      </c>
      <c r="F11" s="45">
        <f>[1]!'@CTA[8-2-7-1-6,F,#5]'</f>
        <v>0</v>
      </c>
      <c r="G11" s="11">
        <f t="shared" si="2"/>
        <v>0</v>
      </c>
    </row>
    <row r="12" spans="1:7">
      <c r="A12" s="10" t="s">
        <v>16</v>
      </c>
      <c r="B12" s="45">
        <f>[1]!'@CTA[8-2-1-1-7,F,#5]'</f>
        <v>0</v>
      </c>
      <c r="C12" s="45">
        <f>[1]!'@CTA[8-2-3-1-7,F,#5]'</f>
        <v>0</v>
      </c>
      <c r="D12" s="45">
        <f>[1]!'@CTA[8-2-1-1-7,F,#5]'+[1]!'@CTA[8-2-3-1-7,F,#5]'</f>
        <v>0</v>
      </c>
      <c r="E12" s="45">
        <f>[1]!'@CTA[8-2-5-1-7,J,#5]'</f>
        <v>0</v>
      </c>
      <c r="F12" s="45">
        <f>[1]!'@CTA[8-2-7-1-7,F,#5]'</f>
        <v>0</v>
      </c>
      <c r="G12" s="11">
        <f t="shared" si="2"/>
        <v>0</v>
      </c>
    </row>
    <row r="13" spans="1:7">
      <c r="A13" s="8" t="s">
        <v>17</v>
      </c>
      <c r="B13" s="9">
        <f>SUM(B14:B22)</f>
        <v>5576045</v>
      </c>
      <c r="C13" s="9">
        <f t="shared" ref="C13:F13" si="3">SUM(C14:C22)</f>
        <v>-3799.9000000000729</v>
      </c>
      <c r="D13" s="9">
        <f t="shared" si="3"/>
        <v>5572245.0999999996</v>
      </c>
      <c r="E13" s="9">
        <f t="shared" si="3"/>
        <v>2135639.46</v>
      </c>
      <c r="F13" s="9">
        <f t="shared" si="3"/>
        <v>2090814.1500000011</v>
      </c>
      <c r="G13" s="9">
        <f t="shared" si="2"/>
        <v>3436605.6399999997</v>
      </c>
    </row>
    <row r="14" spans="1:7">
      <c r="A14" s="10" t="s">
        <v>18</v>
      </c>
      <c r="B14" s="45">
        <f>[1]!'@CTA[8-2-1-2-1,F,#5]'</f>
        <v>379285</v>
      </c>
      <c r="C14" s="45">
        <f>[1]!'@CTA[8-2-3-2-1,F,#5]'</f>
        <v>6.0000000029103828E-2</v>
      </c>
      <c r="D14" s="45">
        <f>[1]!'@CTA[8-2-1-2-1,F,#5]'+[1]!'@CTA[8-2-3-2-1,F,#5]'</f>
        <v>379285.06000000006</v>
      </c>
      <c r="E14" s="45">
        <f>[1]!'@CTA[8-2-5-2-1,J,#5]'</f>
        <v>83159.5</v>
      </c>
      <c r="F14" s="45">
        <f>[1]!'@CTA[8-2-7-2-1,F,#5]'</f>
        <v>83159.499999999956</v>
      </c>
      <c r="G14" s="11">
        <f t="shared" si="2"/>
        <v>296125.56000000006</v>
      </c>
    </row>
    <row r="15" spans="1:7">
      <c r="A15" s="10" t="s">
        <v>19</v>
      </c>
      <c r="B15" s="45">
        <f>[1]!'@CTA[8-2-1-2-2,F,#5]'</f>
        <v>60744</v>
      </c>
      <c r="C15" s="45">
        <f>[1]!'@CTA[8-2-3-2-2,F,#5]'</f>
        <v>4.0000000007275958E-2</v>
      </c>
      <c r="D15" s="45">
        <f>[1]!'@CTA[8-2-1-2-2,F,#5]'+[1]!'@CTA[8-2-3-2-2,F,#5]'</f>
        <v>60744.040000000008</v>
      </c>
      <c r="E15" s="45">
        <f>[1]!'@CTA[8-2-5-2-2,J,#5]'</f>
        <v>37282.94</v>
      </c>
      <c r="F15" s="45">
        <f>[1]!'@CTA[8-2-7-2-2,F,#5]'</f>
        <v>36729.439999999973</v>
      </c>
      <c r="G15" s="11">
        <f t="shared" si="2"/>
        <v>23461.100000000006</v>
      </c>
    </row>
    <row r="16" spans="1:7">
      <c r="A16" s="10" t="s">
        <v>20</v>
      </c>
      <c r="B16" s="45">
        <f>[1]!'@CTA[8-2-1-2-3,F,#5]'</f>
        <v>0</v>
      </c>
      <c r="C16" s="45">
        <f>[1]!'@CTA[8-2-3-2-3,F,#5]'</f>
        <v>0</v>
      </c>
      <c r="D16" s="45">
        <f>[1]!'@CTA[8-2-1-2-3,F,#5]'+[1]!'@CTA[8-2-3-2-3,F,#5]'</f>
        <v>0</v>
      </c>
      <c r="E16" s="45">
        <f>[1]!'@CTA[8-2-5-2-3,J,#5]'</f>
        <v>0</v>
      </c>
      <c r="F16" s="45">
        <f>[1]!'@CTA[8-2-7-2-3,F,#5]'</f>
        <v>0</v>
      </c>
      <c r="G16" s="11">
        <f t="shared" si="2"/>
        <v>0</v>
      </c>
    </row>
    <row r="17" spans="1:7">
      <c r="A17" s="10" t="s">
        <v>21</v>
      </c>
      <c r="B17" s="45">
        <f>[1]!'@CTA[8-2-1-2-4,F,#5]'</f>
        <v>3266572</v>
      </c>
      <c r="C17" s="45">
        <f>[1]!'@CTA[8-2-3-2-4,F,#5]'</f>
        <v>-3800</v>
      </c>
      <c r="D17" s="45">
        <f>[1]!'@CTA[8-2-1-2-4,F,#5]'+[1]!'@CTA[8-2-3-2-4,F,#5]'</f>
        <v>3262772</v>
      </c>
      <c r="E17" s="45">
        <f>[1]!'@CTA[8-2-5-2-4,J,#5]'</f>
        <v>1228929.73</v>
      </c>
      <c r="F17" s="45">
        <f>[1]!'@CTA[8-2-7-2-4,F,#5]'</f>
        <v>1210842.1200000013</v>
      </c>
      <c r="G17" s="11">
        <f t="shared" si="2"/>
        <v>2033842.27</v>
      </c>
    </row>
    <row r="18" spans="1:7">
      <c r="A18" s="10" t="s">
        <v>22</v>
      </c>
      <c r="B18" s="45">
        <f>[1]!'@CTA[8-2-1-2-5,F,#5]'</f>
        <v>561905</v>
      </c>
      <c r="C18" s="45">
        <f>[1]!'@CTA[8-2-3-2-5,F,#5]'</f>
        <v>-8.7311491370201111E-11</v>
      </c>
      <c r="D18" s="45">
        <f>[1]!'@CTA[8-2-1-2-5,F,#5]'+[1]!'@CTA[8-2-3-2-5,F,#5]'</f>
        <v>561904.99999999988</v>
      </c>
      <c r="E18" s="45">
        <f>[1]!'@CTA[8-2-5-2-5,J,#5]'</f>
        <v>250590.95</v>
      </c>
      <c r="F18" s="45">
        <f>[1]!'@CTA[8-2-7-2-5,F,#5]'</f>
        <v>250518.53999999989</v>
      </c>
      <c r="G18" s="11">
        <f t="shared" si="2"/>
        <v>311314.04999999987</v>
      </c>
    </row>
    <row r="19" spans="1:7">
      <c r="A19" s="10" t="s">
        <v>23</v>
      </c>
      <c r="B19" s="45">
        <f>[1]!'@CTA[8-2-1-2-6,F,#5]'</f>
        <v>747675</v>
      </c>
      <c r="C19" s="45">
        <f>[1]!'@CTA[8-2-3-2-6,F,#5]'</f>
        <v>0</v>
      </c>
      <c r="D19" s="45">
        <f>[1]!'@CTA[8-2-1-2-6,F,#5]'+[1]!'@CTA[8-2-3-2-6,F,#5]'</f>
        <v>747675</v>
      </c>
      <c r="E19" s="45">
        <f>[1]!'@CTA[8-2-5-2-6,J,#5]'</f>
        <v>334819.74</v>
      </c>
      <c r="F19" s="45">
        <f>[1]!'@CTA[8-2-7-2-6,F,#5]'</f>
        <v>309022.16999999981</v>
      </c>
      <c r="G19" s="11">
        <f t="shared" si="2"/>
        <v>412855.26</v>
      </c>
    </row>
    <row r="20" spans="1:7">
      <c r="A20" s="10" t="s">
        <v>24</v>
      </c>
      <c r="B20" s="45">
        <f>[1]!'@CTA[8-2-1-2-7,F,#5]'</f>
        <v>424669</v>
      </c>
      <c r="C20" s="45">
        <f>[1]!'@CTA[8-2-3-2-7,F,#5]'</f>
        <v>-2.9103830456733704E-11</v>
      </c>
      <c r="D20" s="45">
        <f>[1]!'@CTA[8-2-1-2-7,F,#5]'+[1]!'@CTA[8-2-3-2-7,F,#5]'</f>
        <v>424669</v>
      </c>
      <c r="E20" s="45">
        <f>[1]!'@CTA[8-2-5-2-7,J,#5]'</f>
        <v>151710.32</v>
      </c>
      <c r="F20" s="45">
        <f>[1]!'@CTA[8-2-7-2-7,F,#5]'</f>
        <v>151710.32</v>
      </c>
      <c r="G20" s="11">
        <f t="shared" si="2"/>
        <v>272958.68</v>
      </c>
    </row>
    <row r="21" spans="1:7">
      <c r="A21" s="10" t="s">
        <v>25</v>
      </c>
      <c r="B21" s="45">
        <f>[1]!'@CTA[8-2-1-2-8,F,#5]'</f>
        <v>0</v>
      </c>
      <c r="C21" s="45">
        <f>[1]!'@CTA[8-2-3-2-8,F,#5]'</f>
        <v>0</v>
      </c>
      <c r="D21" s="45">
        <f>[1]!'@CTA[8-2-1-2-8,F,#5]'+[1]!'@CTA[8-2-3-2-8,F,#5]'</f>
        <v>0</v>
      </c>
      <c r="E21" s="45">
        <f>[1]!'@CTA[8-2-5-2-8,J,#5]'</f>
        <v>0</v>
      </c>
      <c r="F21" s="45">
        <f>[1]!'@CTA[8-2-7-2-8,F,#5]'</f>
        <v>0</v>
      </c>
      <c r="G21" s="11">
        <f t="shared" si="2"/>
        <v>0</v>
      </c>
    </row>
    <row r="22" spans="1:7">
      <c r="A22" s="10" t="s">
        <v>26</v>
      </c>
      <c r="B22" s="45">
        <f>[1]!'@CTA[8-2-1-2-9,F,#5]'</f>
        <v>135195</v>
      </c>
      <c r="C22" s="45">
        <f>[1]!'@CTA[8-2-3-2-9,F,#5]'</f>
        <v>7.2759576141834259E-12</v>
      </c>
      <c r="D22" s="45">
        <f>[1]!'@CTA[8-2-1-2-9,F,#5]'+[1]!'@CTA[8-2-3-2-9,F,#5]'</f>
        <v>135195</v>
      </c>
      <c r="E22" s="45">
        <f>[1]!'@CTA[8-2-5-2-9,J,#5]'</f>
        <v>49146.28</v>
      </c>
      <c r="F22" s="45">
        <f>[1]!'@CTA[8-2-7-2-9,F,#5]'</f>
        <v>48832.060000000012</v>
      </c>
      <c r="G22" s="11">
        <f t="shared" si="2"/>
        <v>86048.72</v>
      </c>
    </row>
    <row r="23" spans="1:7">
      <c r="A23" s="8" t="s">
        <v>27</v>
      </c>
      <c r="B23" s="9">
        <f>SUM(B24:B32)</f>
        <v>15671932</v>
      </c>
      <c r="C23" s="9">
        <f t="shared" ref="C23:F23" si="4">SUM(C24:C32)</f>
        <v>-230369.55999999846</v>
      </c>
      <c r="D23" s="9">
        <f t="shared" si="4"/>
        <v>15441562.440000001</v>
      </c>
      <c r="E23" s="9">
        <f t="shared" si="4"/>
        <v>8339190.3699999982</v>
      </c>
      <c r="F23" s="9">
        <f t="shared" si="4"/>
        <v>7855764.9799999977</v>
      </c>
      <c r="G23" s="9">
        <f t="shared" si="2"/>
        <v>7102372.0700000031</v>
      </c>
    </row>
    <row r="24" spans="1:7">
      <c r="A24" s="10" t="s">
        <v>28</v>
      </c>
      <c r="B24" s="45">
        <f>[1]!'@CTA[8-2-1-3-1,F,#5]'</f>
        <v>6840651</v>
      </c>
      <c r="C24" s="45">
        <f>[1]!'@CTA[8-2-3-3-1,F,#5]'</f>
        <v>-64888.559999999823</v>
      </c>
      <c r="D24" s="45">
        <f>[1]!'@CTA[8-2-1-3-1,F,#5]'+[1]!'@CTA[8-2-3-3-1,F,#5]'</f>
        <v>6775762.4400000004</v>
      </c>
      <c r="E24" s="45">
        <f>[1]!'@CTA[8-2-5-3-1,J,#5]'</f>
        <v>4166742.3099999991</v>
      </c>
      <c r="F24" s="45">
        <f>[1]!'@CTA[8-2-7-3-1,F,#5]'</f>
        <v>3770707.6999999993</v>
      </c>
      <c r="G24" s="11">
        <f t="shared" si="2"/>
        <v>2609020.1300000013</v>
      </c>
    </row>
    <row r="25" spans="1:7">
      <c r="A25" s="10" t="s">
        <v>29</v>
      </c>
      <c r="B25" s="45">
        <f>[1]!'@CTA[8-2-1-3-2,F,#5]'</f>
        <v>29200</v>
      </c>
      <c r="C25" s="45">
        <f>[1]!'@CTA[8-2-3-3-2,F,#5]'</f>
        <v>0</v>
      </c>
      <c r="D25" s="45">
        <f>[1]!'@CTA[8-2-1-3-2,F,#5]'+[1]!'@CTA[8-2-3-3-2,F,#5]'</f>
        <v>29200</v>
      </c>
      <c r="E25" s="45">
        <f>[1]!'@CTA[8-2-5-3-2,J,#5]'</f>
        <v>2678.1900000000005</v>
      </c>
      <c r="F25" s="45">
        <f>[1]!'@CTA[8-2-7-3-2,F,#5]'</f>
        <v>2583.3600000000047</v>
      </c>
      <c r="G25" s="11">
        <f t="shared" si="2"/>
        <v>26521.809999999998</v>
      </c>
    </row>
    <row r="26" spans="1:7">
      <c r="A26" s="10" t="s">
        <v>30</v>
      </c>
      <c r="B26" s="45">
        <f>[1]!'@CTA[8-2-1-3-3,F,#5]'</f>
        <v>3277512</v>
      </c>
      <c r="C26" s="45">
        <f>[1]!'@CTA[8-2-3-3-3,F,#5]'</f>
        <v>-263625.99999999907</v>
      </c>
      <c r="D26" s="46">
        <f>[1]!'@CTA[8-2-1-3-3,F,#5]'+[1]!'@CTA[8-2-3-3-3,F,#5]'</f>
        <v>3013886.0000000009</v>
      </c>
      <c r="E26" s="45">
        <f>[1]!'@CTA[8-2-5-3-3,J,#5]'</f>
        <v>1122282.1199999999</v>
      </c>
      <c r="F26" s="45">
        <f>[1]!'@CTA[8-2-7-3-3,F,#5]'</f>
        <v>1119996.4000000004</v>
      </c>
      <c r="G26" s="11">
        <f t="shared" si="2"/>
        <v>1891603.8800000011</v>
      </c>
    </row>
    <row r="27" spans="1:7">
      <c r="A27" s="10" t="s">
        <v>31</v>
      </c>
      <c r="B27" s="45">
        <f>[1]!'@CTA[8-2-1-3-4,F,#5]'</f>
        <v>549939</v>
      </c>
      <c r="C27" s="45">
        <f>[1]!'@CTA[8-2-3-3-4,F,#5]'</f>
        <v>138020.32</v>
      </c>
      <c r="D27" s="45">
        <f>[1]!'@CTA[8-2-1-3-4,F,#5]'+[1]!'@CTA[8-2-3-3-4,F,#5]'</f>
        <v>687959.32000000007</v>
      </c>
      <c r="E27" s="45">
        <f>[1]!'@CTA[8-2-5-3-4,J,#5]'</f>
        <v>305308.66000000003</v>
      </c>
      <c r="F27" s="45">
        <f>[1]!'@CTA[8-2-7-3-4,F,#5]'</f>
        <v>305308.66000000021</v>
      </c>
      <c r="G27" s="11">
        <f t="shared" si="2"/>
        <v>382650.66000000003</v>
      </c>
    </row>
    <row r="28" spans="1:7">
      <c r="A28" s="10" t="s">
        <v>32</v>
      </c>
      <c r="B28" s="45">
        <f>[1]!'@CTA[8-2-1-3-5,F,#5]'</f>
        <v>2142328</v>
      </c>
      <c r="C28" s="45">
        <f>[1]!'@CTA[8-2-3-3-5,F,#5]'</f>
        <v>1.1641532182693481E-10</v>
      </c>
      <c r="D28" s="45">
        <f>[1]!'@CTA[8-2-1-3-5,F,#5]'+[1]!'@CTA[8-2-3-3-5,F,#5]'</f>
        <v>2142328</v>
      </c>
      <c r="E28" s="45">
        <f>[1]!'@CTA[8-2-5-3-5,J,#5]'</f>
        <v>1592341.7799999998</v>
      </c>
      <c r="F28" s="45">
        <f>[1]!'@CTA[8-2-7-3-5,F,#5]'</f>
        <v>1527796.9499999983</v>
      </c>
      <c r="G28" s="11">
        <f t="shared" si="2"/>
        <v>549986.2200000002</v>
      </c>
    </row>
    <row r="29" spans="1:7">
      <c r="A29" s="10" t="s">
        <v>33</v>
      </c>
      <c r="B29" s="45">
        <f>[1]!'@CTA[8-2-1-3-6,F,#5]'</f>
        <v>151000</v>
      </c>
      <c r="C29" s="45">
        <f>[1]!'@CTA[8-2-3-3-6,F,#5]'</f>
        <v>-70906.320000000007</v>
      </c>
      <c r="D29" s="45">
        <f>[1]!'@CTA[8-2-1-3-6,F,#5]'+[1]!'@CTA[8-2-3-3-6,F,#5]'</f>
        <v>80093.679999999993</v>
      </c>
      <c r="E29" s="45">
        <f>[1]!'@CTA[8-2-5-3-6,J,#5]'</f>
        <v>36460.550000000003</v>
      </c>
      <c r="F29" s="45">
        <f>[1]!'@CTA[8-2-7-3-6,F,#5]'</f>
        <v>36163.999999999978</v>
      </c>
      <c r="G29" s="11">
        <f t="shared" si="2"/>
        <v>43633.12999999999</v>
      </c>
    </row>
    <row r="30" spans="1:7">
      <c r="A30" s="10" t="s">
        <v>34</v>
      </c>
      <c r="B30" s="45">
        <f>[1]!'@CTA[8-2-1-3-7,F,#5]'</f>
        <v>39600</v>
      </c>
      <c r="C30" s="45">
        <f>[1]!'@CTA[8-2-3-3-7,F,#5]'</f>
        <v>7.2759576141834259E-12</v>
      </c>
      <c r="D30" s="45">
        <f>[1]!'@CTA[8-2-1-3-7,F,#5]'+[1]!'@CTA[8-2-3-3-7,F,#5]'</f>
        <v>39600.000000000007</v>
      </c>
      <c r="E30" s="45">
        <f>[1]!'@CTA[8-2-5-3-7,J,#5]'</f>
        <v>2801.01</v>
      </c>
      <c r="F30" s="45">
        <f>[1]!'@CTA[8-2-7-3-7,F,#5]'</f>
        <v>2776.0000000000009</v>
      </c>
      <c r="G30" s="11">
        <f t="shared" si="2"/>
        <v>36798.990000000005</v>
      </c>
    </row>
    <row r="31" spans="1:7">
      <c r="A31" s="10" t="s">
        <v>35</v>
      </c>
      <c r="B31" s="45">
        <f>[1]!'@CTA[8-2-1-3-8,F,#5]'</f>
        <v>178000</v>
      </c>
      <c r="C31" s="45">
        <f>[1]!'@CTA[8-2-3-3-8,F,#5]'</f>
        <v>2.9103830456733704E-11</v>
      </c>
      <c r="D31" s="45">
        <f>[1]!'@CTA[8-2-1-3-8,F,#5]'+[1]!'@CTA[8-2-3-3-8,F,#5]'</f>
        <v>178000.00000000003</v>
      </c>
      <c r="E31" s="45">
        <f>[1]!'@CTA[8-2-5-3-8,J,#5]'</f>
        <v>56622.05</v>
      </c>
      <c r="F31" s="45">
        <f>[1]!'@CTA[8-2-7-3-8,F,#5]'</f>
        <v>56183.26000000006</v>
      </c>
      <c r="G31" s="11">
        <f t="shared" si="2"/>
        <v>121377.95000000003</v>
      </c>
    </row>
    <row r="32" spans="1:7">
      <c r="A32" s="10" t="s">
        <v>36</v>
      </c>
      <c r="B32" s="45">
        <f>[1]!'@CTA[8-2-1-3-9,F,#5]'</f>
        <v>2463702</v>
      </c>
      <c r="C32" s="45">
        <f>[1]!'@CTA[8-2-3-3-9,F,#5]'</f>
        <v>31031.000000000291</v>
      </c>
      <c r="D32" s="45">
        <f>[1]!'@CTA[8-2-1-3-9,F,#5]'+[1]!'@CTA[8-2-3-3-9,F,#5]'</f>
        <v>2494733.0000000005</v>
      </c>
      <c r="E32" s="45">
        <f>[1]!'@CTA[8-2-5-3-9,J,#5]'</f>
        <v>1053953.7</v>
      </c>
      <c r="F32" s="45">
        <f>[1]!'@CTA[8-2-7-3-9,F,#5]'</f>
        <v>1034248.65</v>
      </c>
      <c r="G32" s="11">
        <f t="shared" si="2"/>
        <v>1440779.3000000005</v>
      </c>
    </row>
    <row r="33" spans="1:7">
      <c r="A33" s="8" t="s">
        <v>37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2"/>
        <v>0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f t="shared" si="2"/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f t="shared" si="2"/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f t="shared" si="2"/>
        <v>0</v>
      </c>
    </row>
    <row r="37" spans="1:7">
      <c r="A37" s="1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f t="shared" si="2"/>
        <v>0</v>
      </c>
    </row>
    <row r="38" spans="1:7">
      <c r="A38" s="10" t="s">
        <v>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f t="shared" si="2"/>
        <v>0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f t="shared" si="2"/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f t="shared" si="2"/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f t="shared" si="2"/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f t="shared" si="2"/>
        <v>0</v>
      </c>
    </row>
    <row r="43" spans="1:7">
      <c r="A43" s="8" t="s">
        <v>47</v>
      </c>
      <c r="B43" s="9">
        <f>SUM(B44:B52)</f>
        <v>1407966</v>
      </c>
      <c r="C43" s="9">
        <f t="shared" ref="C43:F43" si="6">SUM(C44:C52)</f>
        <v>95585.999999999476</v>
      </c>
      <c r="D43" s="9">
        <f t="shared" si="6"/>
        <v>1503551.9999999995</v>
      </c>
      <c r="E43" s="9">
        <f t="shared" si="6"/>
        <v>60560.479999999996</v>
      </c>
      <c r="F43" s="9">
        <f t="shared" si="6"/>
        <v>60560.480000000098</v>
      </c>
      <c r="G43" s="9">
        <f t="shared" si="2"/>
        <v>1442991.5199999996</v>
      </c>
    </row>
    <row r="44" spans="1:7">
      <c r="A44" s="10" t="s">
        <v>48</v>
      </c>
      <c r="B44" s="45">
        <f>[1]!'@CTA[8-2-1-5-1,F,#5]'</f>
        <v>479757</v>
      </c>
      <c r="C44" s="45">
        <f>[1]!'@CTA[8-2-3-5-1,F,#5]'</f>
        <v>61317</v>
      </c>
      <c r="D44" s="46">
        <f>[1]!'@CTA[8-2-1-5-1,F,#5]'+[1]!'@CTA[8-2-3-5-1,F,#5]'</f>
        <v>541074</v>
      </c>
      <c r="E44" s="45">
        <f>[1]!'@CTA[8-2-5-5-1,J,#5]'</f>
        <v>8864.64</v>
      </c>
      <c r="F44" s="45">
        <f>[1]!'@CTA[8-2-7-5-1,F,#5]'</f>
        <v>8864.6400000000867</v>
      </c>
      <c r="G44" s="11">
        <f t="shared" si="2"/>
        <v>532209.36</v>
      </c>
    </row>
    <row r="45" spans="1:7">
      <c r="A45" s="10" t="s">
        <v>49</v>
      </c>
      <c r="B45" s="45">
        <f>[1]!'@CTA[8-2-1-5-2,F,#5]'</f>
        <v>4400</v>
      </c>
      <c r="C45" s="45">
        <f>[1]!'@CTA[8-2-3-5-2,F,#5]'</f>
        <v>-1.8189894035458565E-12</v>
      </c>
      <c r="D45" s="45">
        <f>[1]!'@CTA[8-2-1-5-2,F,#5]'+[1]!'@CTA[8-2-3-5-2,F,#5]'</f>
        <v>4399.9999999999982</v>
      </c>
      <c r="E45" s="45">
        <f>[1]!'@CTA[8-2-5-5-2,J,#5]'</f>
        <v>24059.22</v>
      </c>
      <c r="F45" s="45">
        <f>[1]!'@CTA[8-2-7-5-2,F,#5]'</f>
        <v>24059.22</v>
      </c>
      <c r="G45" s="11">
        <f t="shared" si="2"/>
        <v>-19659.22</v>
      </c>
    </row>
    <row r="46" spans="1:7">
      <c r="A46" s="10" t="s">
        <v>50</v>
      </c>
      <c r="B46" s="45">
        <f>[1]!'@CTA[8-2-1-5-3,F,#5]'</f>
        <v>0</v>
      </c>
      <c r="C46" s="45">
        <f>[1]!'@CTA[8-2-3-5-3,F,#5]'</f>
        <v>0</v>
      </c>
      <c r="D46" s="45">
        <f>[1]!'@CTA[8-2-1-5-3,F,#5]'+[1]!'@CTA[8-2-3-5-3,F,#5]'</f>
        <v>0</v>
      </c>
      <c r="E46" s="45">
        <f>[1]!'@CTA[8-2-5-5-3,J,#5]'</f>
        <v>0</v>
      </c>
      <c r="F46" s="45">
        <f>[1]!'@CTA[8-2-7-5-3,F,#5]'</f>
        <v>0</v>
      </c>
      <c r="G46" s="11">
        <f t="shared" si="2"/>
        <v>0</v>
      </c>
    </row>
    <row r="47" spans="1:7">
      <c r="A47" s="10" t="s">
        <v>51</v>
      </c>
      <c r="B47" s="45">
        <f>[1]!'@CTA[8-2-1-5-4,F,#5]'</f>
        <v>23400</v>
      </c>
      <c r="C47" s="45">
        <f>[1]!'@CTA[8-2-3-5-4,F,#5]'</f>
        <v>25000</v>
      </c>
      <c r="D47" s="45">
        <f>[1]!'@CTA[8-2-1-5-4,F,#5]'+[1]!'@CTA[8-2-3-5-4,F,#5]'</f>
        <v>48400</v>
      </c>
      <c r="E47" s="45">
        <f>[1]!'@CTA[8-2-5-5-4,J,#5]'</f>
        <v>22758.62</v>
      </c>
      <c r="F47" s="45">
        <f>[1]!'@CTA[8-2-7-5-4,F,#5]'</f>
        <v>22758.620000000003</v>
      </c>
      <c r="G47" s="11">
        <f t="shared" si="2"/>
        <v>25641.38</v>
      </c>
    </row>
    <row r="48" spans="1:7">
      <c r="A48" s="10" t="s">
        <v>52</v>
      </c>
      <c r="B48" s="45">
        <f>[1]!'@CTA[8-2-1-5-5,F,#5]'</f>
        <v>0</v>
      </c>
      <c r="C48" s="45">
        <f>[1]!'@CTA[8-2-3-5-5,F,#5]'</f>
        <v>0</v>
      </c>
      <c r="D48" s="45">
        <f>[1]!'@CTA[8-2-1-5-5,F,#5]'+[1]!'@CTA[8-2-3-5-5,F,#5]'</f>
        <v>0</v>
      </c>
      <c r="E48" s="45">
        <f>[1]!'@CTA[8-2-5-5-5,J,#5]'</f>
        <v>0</v>
      </c>
      <c r="F48" s="45">
        <f>[1]!'@CTA[8-2-7-5-5,F,#5]'</f>
        <v>0</v>
      </c>
      <c r="G48" s="11">
        <f t="shared" si="2"/>
        <v>0</v>
      </c>
    </row>
    <row r="49" spans="1:7">
      <c r="A49" s="10" t="s">
        <v>53</v>
      </c>
      <c r="B49" s="45">
        <f>[1]!'@CTA[8-2-1-5-6,F,#5]'</f>
        <v>87891</v>
      </c>
      <c r="C49" s="45">
        <f>[1]!'@CTA[8-2-3-5-6,F,#5]'</f>
        <v>9268.9999999999418</v>
      </c>
      <c r="D49" s="45">
        <f>[1]!'@CTA[8-2-1-5-6,F,#5]'+[1]!'@CTA[8-2-3-5-6,F,#5]'</f>
        <v>97159.999999999942</v>
      </c>
      <c r="E49" s="45">
        <f>[1]!'@CTA[8-2-5-5-6,J,#5]'</f>
        <v>4878</v>
      </c>
      <c r="F49" s="45">
        <f>[1]!'@CTA[8-2-7-5-6,F,#5]'</f>
        <v>4878</v>
      </c>
      <c r="G49" s="11">
        <f t="shared" si="2"/>
        <v>92281.999999999942</v>
      </c>
    </row>
    <row r="50" spans="1:7">
      <c r="A50" s="10" t="s">
        <v>54</v>
      </c>
      <c r="B50" s="45">
        <f>[1]!'@CTA[8-2-1-5-7,F,#5]'</f>
        <v>0</v>
      </c>
      <c r="C50" s="45">
        <f>[1]!'@CTA[8-2-3-5-7,F,#5]'</f>
        <v>0</v>
      </c>
      <c r="D50" s="45">
        <f>[1]!'@CTA[8-2-1-5-7,F,#5]'+[1]!'@CTA[8-2-3-5-7,F,#5]'</f>
        <v>0</v>
      </c>
      <c r="E50" s="45">
        <f>[1]!'@CTA[8-2-5-5-7,J,#5]'</f>
        <v>0</v>
      </c>
      <c r="F50" s="45">
        <f>[1]!'@CTA[8-2-7-5-7,F,#5]'</f>
        <v>0</v>
      </c>
      <c r="G50" s="11">
        <f t="shared" si="2"/>
        <v>0</v>
      </c>
    </row>
    <row r="51" spans="1:7">
      <c r="A51" s="10" t="s">
        <v>55</v>
      </c>
      <c r="B51" s="45">
        <f>[1]!'@CTA[8-2-1-5-8,F,#5]'</f>
        <v>0</v>
      </c>
      <c r="C51" s="45">
        <f>[1]!'@CTA[8-2-3-5-8,F,#5]'</f>
        <v>0</v>
      </c>
      <c r="D51" s="45">
        <f>[1]!'@CTA[8-2-1-5-8,F,#5]'+[1]!'@CTA[8-2-3-5-8,F,#5]'</f>
        <v>0</v>
      </c>
      <c r="E51" s="45">
        <f>[1]!'@CTA[8-2-5-5-8,J,#5]'</f>
        <v>0</v>
      </c>
      <c r="F51" s="45">
        <f>[1]!'@CTA[8-2-7-5-8,F,#5]'</f>
        <v>0</v>
      </c>
      <c r="G51" s="11">
        <f t="shared" si="2"/>
        <v>0</v>
      </c>
    </row>
    <row r="52" spans="1:7">
      <c r="A52" s="10" t="s">
        <v>56</v>
      </c>
      <c r="B52" s="45">
        <f>[1]!'@CTA[8-2-1-5-9,F,#5]'</f>
        <v>812518</v>
      </c>
      <c r="C52" s="45">
        <f>[1]!'@CTA[8-2-3-5-9,F,#5]'</f>
        <v>-4.6566128730773926E-10</v>
      </c>
      <c r="D52" s="45">
        <f>[1]!'@CTA[8-2-1-5-9,F,#5]'+[1]!'@CTA[8-2-3-5-9,F,#5]'</f>
        <v>812517.99999999953</v>
      </c>
      <c r="E52" s="45">
        <f>[1]!'@CTA[8-2-5-5-9,J,#5]'</f>
        <v>0</v>
      </c>
      <c r="F52" s="45">
        <f>[1]!'@CTA[8-2-7-5-9,F,#5]'</f>
        <v>7.2759576141834259E-12</v>
      </c>
      <c r="G52" s="11">
        <f t="shared" si="2"/>
        <v>812517.99999999953</v>
      </c>
    </row>
    <row r="53" spans="1:7">
      <c r="A53" s="8" t="s">
        <v>57</v>
      </c>
      <c r="B53" s="9">
        <f>SUM(B54:B56)</f>
        <v>12210011</v>
      </c>
      <c r="C53" s="9">
        <f t="shared" ref="C53:F53" si="7">SUM(C54:C56)</f>
        <v>7103590.0100000016</v>
      </c>
      <c r="D53" s="9">
        <f t="shared" si="7"/>
        <v>19313601.010000002</v>
      </c>
      <c r="E53" s="9">
        <f t="shared" si="7"/>
        <v>4585227.18</v>
      </c>
      <c r="F53" s="9">
        <f t="shared" si="7"/>
        <v>4585227.18</v>
      </c>
      <c r="G53" s="9">
        <f t="shared" si="2"/>
        <v>14728373.830000002</v>
      </c>
    </row>
    <row r="54" spans="1:7">
      <c r="A54" s="10" t="s">
        <v>58</v>
      </c>
      <c r="B54" s="45">
        <f>[1]!'@CTA[8-2-1-6-1,F,#5]'</f>
        <v>11790011</v>
      </c>
      <c r="C54" s="45">
        <f>[1]!'@CTA[8-2-3-6-1,F,#5]'</f>
        <v>7403590.0100000016</v>
      </c>
      <c r="D54" s="45">
        <f>[1]!'@CTA[8-2-1-6-1,F,#5]'+[1]!'@CTA[8-2-3-6-1,F,#5]'</f>
        <v>19193601.010000002</v>
      </c>
      <c r="E54" s="45">
        <f>[1]!'@CTA[8-2-5-6-1,J,#5]'</f>
        <v>4585227.18</v>
      </c>
      <c r="F54" s="45">
        <f>[1]!'@CTA[8-2-7-6-1,F,#5]'</f>
        <v>4585227.18</v>
      </c>
      <c r="G54" s="11">
        <f t="shared" si="2"/>
        <v>14608373.830000002</v>
      </c>
    </row>
    <row r="55" spans="1:7">
      <c r="A55" s="10" t="s">
        <v>59</v>
      </c>
      <c r="B55" s="45">
        <f>[1]!'@CTA[8-2-1-6-2-6221,F,#6]'</f>
        <v>420000</v>
      </c>
      <c r="C55" s="45">
        <f>[1]!'@CTA[8-2-3-6-2-6221,F,#6]'</f>
        <v>-300000</v>
      </c>
      <c r="D55" s="45">
        <f>B55+C55</f>
        <v>120000</v>
      </c>
      <c r="E55" s="45">
        <f>[1]!'@CTA[8-2-5-6-2-6221,J,#6]'</f>
        <v>0</v>
      </c>
      <c r="F55" s="45">
        <f>[1]!'@CTA[8-2-7-6-2-6221,F,#6]'</f>
        <v>0</v>
      </c>
      <c r="G55" s="11">
        <f t="shared" si="2"/>
        <v>120000</v>
      </c>
    </row>
    <row r="56" spans="1:7">
      <c r="A56" s="10" t="s">
        <v>60</v>
      </c>
      <c r="B56" s="45">
        <f>[1]!'@CTA[8-2-1-6-3,F,#5]'</f>
        <v>0</v>
      </c>
      <c r="C56" s="45">
        <f>[1]!'@CTA[8-2-3-6-3,F,#5]'</f>
        <v>0</v>
      </c>
      <c r="D56" s="45">
        <f>[1]!'@CTA[8-2-1-6-3,F,#5]'+[1]!'@CTA[8-2-3-6-3,F,#5]'</f>
        <v>0</v>
      </c>
      <c r="E56" s="45">
        <f>[1]!'@CTA[8-2-5-6-3,J,#5]'</f>
        <v>0</v>
      </c>
      <c r="F56" s="45">
        <f>[1]!'@CTA[8-2-7-6-3,F,#5]'</f>
        <v>0</v>
      </c>
      <c r="G56" s="11">
        <f t="shared" si="2"/>
        <v>0</v>
      </c>
    </row>
    <row r="57" spans="1:7">
      <c r="A57" s="8" t="s">
        <v>61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2"/>
        <v>0</v>
      </c>
    </row>
    <row r="58" spans="1:7">
      <c r="A58" s="10" t="s">
        <v>62</v>
      </c>
      <c r="B58" s="45">
        <f>[1]!'@CTA[8-2-1-7-1,F,#5]'</f>
        <v>0</v>
      </c>
      <c r="C58" s="45">
        <f>[1]!'@CTA[8-2-3-7-1,F,#5]'</f>
        <v>0</v>
      </c>
      <c r="D58" s="45">
        <f>[1]!'@CTA[8-2-1-7-1,F,#5]'+[1]!'@CTA[8-2-3-7-1,F,#5]'</f>
        <v>0</v>
      </c>
      <c r="E58" s="45">
        <f>[1]!'@CTA[8-2-5-7-1,J,#5]'</f>
        <v>0</v>
      </c>
      <c r="F58" s="45">
        <f>[1]!'@CTA[8-2-7-7-1,F,#5]'</f>
        <v>0</v>
      </c>
      <c r="G58" s="11">
        <f t="shared" si="2"/>
        <v>0</v>
      </c>
    </row>
    <row r="59" spans="1:7">
      <c r="A59" s="10" t="s">
        <v>63</v>
      </c>
      <c r="B59" s="45">
        <f>[1]!'@CTA[8-2-1-7-2,F,#5]'</f>
        <v>0</v>
      </c>
      <c r="C59" s="45">
        <f>[1]!'@CTA[8-2-3-7-2,F,#5]'</f>
        <v>0</v>
      </c>
      <c r="D59" s="45">
        <f>[1]!'@CTA[8-2-1-7-2,F,#5]'+[1]!'@CTA[8-2-3-7-2,F,#5]'</f>
        <v>0</v>
      </c>
      <c r="E59" s="45">
        <f>[1]!'@CTA[8-2-5-7-2,J,#5]'</f>
        <v>0</v>
      </c>
      <c r="F59" s="45">
        <f>[1]!'@CTA[8-2-7-7-2,F,#5]'</f>
        <v>0</v>
      </c>
      <c r="G59" s="11">
        <f t="shared" si="2"/>
        <v>0</v>
      </c>
    </row>
    <row r="60" spans="1:7">
      <c r="A60" s="10" t="s">
        <v>64</v>
      </c>
      <c r="B60" s="45">
        <f>[1]!'@CTA[8-2-1-7-3,F,#5]'</f>
        <v>0</v>
      </c>
      <c r="C60" s="45">
        <f>[1]!'@CTA[8-2-3-7-3,F,#5]'</f>
        <v>0</v>
      </c>
      <c r="D60" s="45">
        <f>[1]!'@CTA[8-2-1-7-3,F,#5]'+[1]!'@CTA[8-2-3-7-3,F,#5]'</f>
        <v>0</v>
      </c>
      <c r="E60" s="45">
        <f>[1]!'@CTA[8-2-5-7-3,J,#5]'</f>
        <v>0</v>
      </c>
      <c r="F60" s="45">
        <f>[1]!'@CTA[8-2-7-7-3,F,#5]'</f>
        <v>0</v>
      </c>
      <c r="G60" s="11">
        <f t="shared" si="2"/>
        <v>0</v>
      </c>
    </row>
    <row r="61" spans="1:7">
      <c r="A61" s="10" t="s">
        <v>65</v>
      </c>
      <c r="B61" s="45">
        <f>[1]!'@CTA[8-2-1-7-4,F,#5]'</f>
        <v>0</v>
      </c>
      <c r="C61" s="45">
        <f>[1]!'@CTA[8-2-3-7-4,F,#5]'</f>
        <v>0</v>
      </c>
      <c r="D61" s="45">
        <f>[1]!'@CTA[8-2-1-7-4,F,#5]'+[1]!'@CTA[8-2-3-7-4,F,#5]'</f>
        <v>0</v>
      </c>
      <c r="E61" s="45">
        <f>[1]!'@CTA[8-2-5-7-4,J,#5]'</f>
        <v>0</v>
      </c>
      <c r="F61" s="45">
        <f>[1]!'@CTA[8-2-7-7-4,F,#5]'</f>
        <v>0</v>
      </c>
      <c r="G61" s="11">
        <f t="shared" si="2"/>
        <v>0</v>
      </c>
    </row>
    <row r="62" spans="1:7">
      <c r="A62" s="10" t="s">
        <v>66</v>
      </c>
      <c r="B62" s="45">
        <f>[1]!'@CTA[8-2-1-7-5,F,#5]'</f>
        <v>0</v>
      </c>
      <c r="C62" s="45">
        <f>[1]!'@CTA[8-2-3-7-5,F,#5]'</f>
        <v>0</v>
      </c>
      <c r="D62" s="45">
        <f>[1]!'@CTA[8-2-1-7-5,F,#5]'+[1]!'@CTA[8-2-3-7-5,F,#5]'</f>
        <v>0</v>
      </c>
      <c r="E62" s="45">
        <f>[1]!'@CTA[8-2-5-7-5,J,#5]'</f>
        <v>0</v>
      </c>
      <c r="F62" s="45">
        <f>[1]!'@CTA[8-2-7-7-5,F,#5]'</f>
        <v>0</v>
      </c>
      <c r="G62" s="11">
        <f t="shared" si="2"/>
        <v>0</v>
      </c>
    </row>
    <row r="63" spans="1:7">
      <c r="A63" s="10" t="s">
        <v>67</v>
      </c>
      <c r="B63" s="45">
        <f>[1]!'@CTA[8-2-1-7-6,F,#5]'</f>
        <v>0</v>
      </c>
      <c r="C63" s="45">
        <f>[1]!'@CTA[8-2-3-7-6,F,#5]'</f>
        <v>0</v>
      </c>
      <c r="D63" s="45">
        <f>[1]!'@CTA[8-2-1-7-6,F,#5]'+[1]!'@CTA[8-2-3-7-6,F,#5]'</f>
        <v>0</v>
      </c>
      <c r="E63" s="45">
        <f>[1]!'@CTA[8-2-5-7-6,J,#5]'</f>
        <v>0</v>
      </c>
      <c r="F63" s="45">
        <f>[1]!'@CTA[8-2-7-7-6,F,#5]'</f>
        <v>0</v>
      </c>
      <c r="G63" s="11">
        <f t="shared" si="2"/>
        <v>0</v>
      </c>
    </row>
    <row r="64" spans="1:7">
      <c r="A64" s="10" t="s">
        <v>68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11">
        <f t="shared" si="2"/>
        <v>0</v>
      </c>
    </row>
    <row r="65" spans="1:7">
      <c r="A65" s="10" t="s">
        <v>69</v>
      </c>
      <c r="B65" s="45">
        <f>[1]!'@CTA[8-2-1-7-9,F,#5]'</f>
        <v>0</v>
      </c>
      <c r="C65" s="45">
        <f>[1]!'@CTA[8-2-3-7-9,F,#5]'</f>
        <v>0</v>
      </c>
      <c r="D65" s="45">
        <f>[1]!'@CTA[8-2-1-7-9,F,#5]'+[1]!'@CTA[8-2-3-7-9,F,#5]'</f>
        <v>0</v>
      </c>
      <c r="E65" s="45">
        <f>[1]!'@CTA[8-2-5-7-9,J,#5]'</f>
        <v>0</v>
      </c>
      <c r="F65" s="45">
        <f>[1]!'@CTA[8-2-7-7-9,F,#5]'</f>
        <v>0</v>
      </c>
      <c r="G65" s="11">
        <f t="shared" si="2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2"/>
        <v>0</v>
      </c>
    </row>
    <row r="67" spans="1:7">
      <c r="A67" s="10" t="s">
        <v>71</v>
      </c>
      <c r="B67" s="45">
        <f>[1]!'@CTA[8-2-1-8-1,F,#5]'</f>
        <v>0</v>
      </c>
      <c r="C67" s="45">
        <f>[1]!'@CTA[8-2-3-8-1,F,#5]'</f>
        <v>0</v>
      </c>
      <c r="D67" s="45">
        <f>[1]!'@CTA[8-2-1-8-1,F,#5]'+[1]!'@CTA[8-2-3-8-1,F,#5]'</f>
        <v>0</v>
      </c>
      <c r="E67" s="45">
        <f>[1]!'@CTA[8-2-5-8-1,J,#5]'</f>
        <v>0</v>
      </c>
      <c r="F67" s="45">
        <f>[1]!'@CTA[8-2-7-8-1,F,#5]'</f>
        <v>0</v>
      </c>
      <c r="G67" s="11">
        <f t="shared" si="2"/>
        <v>0</v>
      </c>
    </row>
    <row r="68" spans="1:7">
      <c r="A68" s="10" t="s">
        <v>72</v>
      </c>
      <c r="B68" s="45">
        <f>[1]!'@CTA[8-2-1-8-3,F,#5]'</f>
        <v>0</v>
      </c>
      <c r="C68" s="45">
        <f>[1]!'@CTA[8-2-3-8-3,F,#5]'</f>
        <v>0</v>
      </c>
      <c r="D68" s="45">
        <f>[1]!'@CTA[8-2-1-8-3,F,#5]'+[1]!'@CTA[8-2-3-8-3,F,#5]'</f>
        <v>0</v>
      </c>
      <c r="E68" s="45">
        <f>[1]!'@CTA[8-2-5-8-3,J,#5]'</f>
        <v>0</v>
      </c>
      <c r="F68" s="45">
        <f>[1]!'@CTA[8-2-7-8-3,F,#5]'</f>
        <v>0</v>
      </c>
      <c r="G68" s="11">
        <f t="shared" si="2"/>
        <v>0</v>
      </c>
    </row>
    <row r="69" spans="1:7">
      <c r="A69" s="10" t="s">
        <v>73</v>
      </c>
      <c r="B69" s="45">
        <f>[1]!'@CTA[8-2-1-8-5,F,#5]'</f>
        <v>0</v>
      </c>
      <c r="C69" s="45">
        <f>[1]!'@CTA[8-2-3-8-5,F,#5]'</f>
        <v>0</v>
      </c>
      <c r="D69" s="45">
        <f>[1]!'@CTA[8-2-1-8-5,F,#5]'+[1]!'@CTA[8-2-3-8-5,F,#5]'</f>
        <v>0</v>
      </c>
      <c r="E69" s="45">
        <f>[1]!'@CTA[8-2-5-8-5,J,#5]'</f>
        <v>0</v>
      </c>
      <c r="F69" s="45">
        <f>[1]!'@CTA[8-2-7-8-5,F,#5]'</f>
        <v>0</v>
      </c>
      <c r="G69" s="11">
        <f t="shared" si="2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2"/>
        <v>0</v>
      </c>
    </row>
    <row r="71" spans="1:7">
      <c r="A71" s="10" t="s">
        <v>75</v>
      </c>
      <c r="B71" s="45">
        <f>[1]!'@CTA[8-2-1-9-1,F,#5]'</f>
        <v>0</v>
      </c>
      <c r="C71" s="45">
        <f>[1]!'@CTA[8-2-3-9-1,F,#5]'</f>
        <v>0</v>
      </c>
      <c r="D71" s="45">
        <f>[1]!'@CTA[8-2-1-9-1,F,#5]'+[1]!'@CTA[8-2-3-9-1,F,#5]'</f>
        <v>0</v>
      </c>
      <c r="E71" s="45">
        <f>[1]!'@CTA[8-2-5-9-1,J,#5]'</f>
        <v>0</v>
      </c>
      <c r="F71" s="45">
        <f>[1]!'@CTA[8-2-7-9-1,F,#5]'</f>
        <v>0</v>
      </c>
      <c r="G71" s="11">
        <f t="shared" ref="G71:G77" si="11">D71-E71</f>
        <v>0</v>
      </c>
    </row>
    <row r="72" spans="1:7">
      <c r="A72" s="10" t="s">
        <v>76</v>
      </c>
      <c r="B72" s="45">
        <f>[1]!'@CTA[8-2-1-9-2,F,#5]'</f>
        <v>0</v>
      </c>
      <c r="C72" s="45">
        <f>[1]!'@CTA[8-2-3-9-2,F,#5]'</f>
        <v>0</v>
      </c>
      <c r="D72" s="45">
        <f>[1]!'@CTA[8-2-1-9-2,F,#5]'+[1]!'@CTA[8-2-3-9-2,F,#5]'</f>
        <v>0</v>
      </c>
      <c r="E72" s="45">
        <f>[1]!'@CTA[8-2-5-9-2,J,#5]'</f>
        <v>0</v>
      </c>
      <c r="F72" s="45">
        <f>[1]!'@CTA[8-2-7-9-2,F,#5]'</f>
        <v>0</v>
      </c>
      <c r="G72" s="11">
        <f t="shared" si="11"/>
        <v>0</v>
      </c>
    </row>
    <row r="73" spans="1:7">
      <c r="A73" s="10" t="s">
        <v>77</v>
      </c>
      <c r="B73" s="45">
        <f>[1]!'@CTA[8-2-1-9-3,F,#5]'</f>
        <v>0</v>
      </c>
      <c r="C73" s="45">
        <f>[1]!'@CTA[8-2-3-9-3,F,#5]'</f>
        <v>0</v>
      </c>
      <c r="D73" s="45">
        <f>[1]!'@CTA[8-2-1-9-3,F,#5]'+[1]!'@CTA[8-2-3-9-3,F,#5]'</f>
        <v>0</v>
      </c>
      <c r="E73" s="45">
        <f>[1]!'@CTA[8-2-5-9-3,J,#5]'</f>
        <v>0</v>
      </c>
      <c r="F73" s="45">
        <f>[1]!'@CTA[8-2-7-9-3,F,#5]'</f>
        <v>0</v>
      </c>
      <c r="G73" s="11">
        <f t="shared" si="11"/>
        <v>0</v>
      </c>
    </row>
    <row r="74" spans="1:7">
      <c r="A74" s="10" t="s">
        <v>78</v>
      </c>
      <c r="B74" s="45">
        <f>[1]!'@CTA[8-2-1-9-4,F,#5]'</f>
        <v>0</v>
      </c>
      <c r="C74" s="45">
        <f>[1]!'@CTA[8-2-3-9-4,F,#5]'</f>
        <v>0</v>
      </c>
      <c r="D74" s="45">
        <f>[1]!'@CTA[8-2-1-9-4,F,#5]'+[1]!'@CTA[8-2-3-9-4,F,#5]'</f>
        <v>0</v>
      </c>
      <c r="E74" s="45">
        <f>[1]!'@CTA[8-2-5-9-4,J,#5]'</f>
        <v>0</v>
      </c>
      <c r="F74" s="45">
        <f>[1]!'@CTA[8-2-7-9-4,F,#5]'</f>
        <v>0</v>
      </c>
      <c r="G74" s="11">
        <f t="shared" si="11"/>
        <v>0</v>
      </c>
    </row>
    <row r="75" spans="1:7">
      <c r="A75" s="10" t="s">
        <v>79</v>
      </c>
      <c r="B75" s="45">
        <f>[1]!'@CTA[8-2-1-9-5,F,#5]'</f>
        <v>0</v>
      </c>
      <c r="C75" s="45">
        <f>[1]!'@CTA[8-2-3-9-5,F,#5]'</f>
        <v>0</v>
      </c>
      <c r="D75" s="45">
        <f>[1]!'@CTA[8-2-1-9-5,F,#5]'+[1]!'@CTA[8-2-3-9-5,F,#5]'</f>
        <v>0</v>
      </c>
      <c r="E75" s="45">
        <f>[1]!'@CTA[8-2-5-9-5,J,#5]'</f>
        <v>0</v>
      </c>
      <c r="F75" s="45">
        <f>[1]!'@CTA[8-2-7-9-5,F,#5]'</f>
        <v>0</v>
      </c>
      <c r="G75" s="11">
        <f t="shared" si="11"/>
        <v>0</v>
      </c>
    </row>
    <row r="76" spans="1:7">
      <c r="A76" s="10" t="s">
        <v>80</v>
      </c>
      <c r="B76" s="45">
        <f>[1]!'@CTA[8-2-1-9-6,F,#5]'</f>
        <v>0</v>
      </c>
      <c r="C76" s="45">
        <f>[1]!'@CTA[8-2-3-9-6,F,#5]'</f>
        <v>0</v>
      </c>
      <c r="D76" s="45">
        <f>[1]!'@CTA[8-2-1-9-6,F,#5]'+[1]!'@CTA[8-2-3-9-6,F,#5]'</f>
        <v>0</v>
      </c>
      <c r="E76" s="45">
        <f>[1]!'@CTA[8-2-5-9-6,J,#5]'</f>
        <v>0</v>
      </c>
      <c r="F76" s="45">
        <f>[1]!'@CTA[8-2-7-9-6,F,#5]'</f>
        <v>0</v>
      </c>
      <c r="G76" s="11">
        <f t="shared" si="11"/>
        <v>0</v>
      </c>
    </row>
    <row r="77" spans="1:7">
      <c r="A77" s="10" t="s">
        <v>81</v>
      </c>
      <c r="B77" s="47">
        <f>[1]!'@CTA[8-2-1-9-9,F,#5]'</f>
        <v>0</v>
      </c>
      <c r="C77" s="47">
        <f>[1]!'@CTA[8-2-3-9-9,F,#5]'</f>
        <v>0</v>
      </c>
      <c r="D77" s="47">
        <f>[1]!'@CTA[8-2-1-9-9,F,#5]'+[1]!'@CTA[8-2-3-9-9,F,#5]'</f>
        <v>0</v>
      </c>
      <c r="E77" s="47">
        <f>[1]!'@CTA[8-2-5-9-9,J,#5]'</f>
        <v>0</v>
      </c>
      <c r="F77" s="47">
        <f>[1]!'@CTA[8-2-7-9-9,F,#5]'</f>
        <v>0</v>
      </c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2">C80+C88+C98+C108+C118+C128+C132+C141+C145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>
      <c r="A80" s="14" t="s">
        <v>9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f t="shared" ref="G81:G144" si="14">D81-E81</f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f t="shared" si="14"/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f t="shared" si="14"/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f t="shared" si="14"/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f t="shared" si="14"/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f t="shared" si="14"/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f t="shared" si="14"/>
        <v>0</v>
      </c>
    </row>
    <row r="88" spans="1:7">
      <c r="A88" s="14" t="s">
        <v>17</v>
      </c>
      <c r="B88" s="13">
        <f>SUM(B89:B97)</f>
        <v>0</v>
      </c>
      <c r="C88" s="13">
        <f t="shared" ref="C88:F88" si="15">SUM(C89:C97)</f>
        <v>0</v>
      </c>
      <c r="D88" s="13">
        <f t="shared" si="15"/>
        <v>0</v>
      </c>
      <c r="E88" s="13">
        <f t="shared" si="15"/>
        <v>0</v>
      </c>
      <c r="F88" s="13">
        <f t="shared" si="15"/>
        <v>0</v>
      </c>
      <c r="G88" s="13">
        <f t="shared" si="14"/>
        <v>0</v>
      </c>
    </row>
    <row r="89" spans="1:7">
      <c r="A89" s="15" t="s">
        <v>18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f t="shared" si="14"/>
        <v>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f t="shared" si="14"/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f t="shared" si="14"/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f t="shared" si="14"/>
        <v>0</v>
      </c>
    </row>
    <row r="93" spans="1:7">
      <c r="A93" s="15" t="s">
        <v>22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f t="shared" si="14"/>
        <v>0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f t="shared" si="14"/>
        <v>0</v>
      </c>
    </row>
    <row r="95" spans="1:7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f t="shared" si="14"/>
        <v>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f t="shared" si="14"/>
        <v>0</v>
      </c>
    </row>
    <row r="97" spans="1:7">
      <c r="A97" s="15" t="s">
        <v>26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f t="shared" si="14"/>
        <v>0</v>
      </c>
    </row>
    <row r="98" spans="1:7">
      <c r="A98" s="14" t="s">
        <v>27</v>
      </c>
      <c r="B98" s="13">
        <f>SUM(B99:B107)</f>
        <v>0</v>
      </c>
      <c r="C98" s="13">
        <f t="shared" ref="C98:F98" si="16">SUM(C99:C107)</f>
        <v>0</v>
      </c>
      <c r="D98" s="13">
        <f t="shared" si="16"/>
        <v>0</v>
      </c>
      <c r="E98" s="13">
        <f t="shared" si="16"/>
        <v>0</v>
      </c>
      <c r="F98" s="13">
        <f t="shared" si="16"/>
        <v>0</v>
      </c>
      <c r="G98" s="13">
        <f t="shared" si="14"/>
        <v>0</v>
      </c>
    </row>
    <row r="99" spans="1:7">
      <c r="A99" s="15" t="s">
        <v>28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f t="shared" si="14"/>
        <v>0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f t="shared" si="14"/>
        <v>0</v>
      </c>
    </row>
    <row r="101" spans="1:7">
      <c r="A101" s="15" t="s">
        <v>30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f t="shared" si="14"/>
        <v>0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f t="shared" si="14"/>
        <v>0</v>
      </c>
    </row>
    <row r="103" spans="1:7">
      <c r="A103" s="15" t="s">
        <v>32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f t="shared" si="14"/>
        <v>0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f t="shared" si="14"/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f t="shared" si="14"/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f t="shared" si="14"/>
        <v>0</v>
      </c>
    </row>
    <row r="107" spans="1:7">
      <c r="A107" s="15" t="s">
        <v>36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f t="shared" si="14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17">SUM(C109:C117)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4"/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f t="shared" si="14"/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f t="shared" si="14"/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f t="shared" si="14"/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f t="shared" si="14"/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14"/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 t="shared" si="14"/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si="14"/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14"/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14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4"/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f t="shared" si="14"/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f t="shared" si="14"/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14"/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f t="shared" si="14"/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f t="shared" si="14"/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f t="shared" si="14"/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 t="shared" si="14"/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si="14"/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f t="shared" si="14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4"/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f t="shared" si="14"/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f t="shared" si="14"/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14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f t="shared" si="14"/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f t="shared" si="14"/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 t="shared" si="14"/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si="14"/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f t="shared" si="14"/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14"/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14"/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14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14"/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14"/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f t="shared" si="14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f t="shared" si="23"/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f t="shared" si="23"/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f t="shared" si="23"/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f t="shared" si="23"/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f t="shared" si="23"/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 t="shared" si="23"/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52450352</v>
      </c>
      <c r="C154" s="13">
        <f t="shared" ref="C154:G154" si="24">C4+C79</f>
        <v>7716470.1500000032</v>
      </c>
      <c r="D154" s="13">
        <f t="shared" si="24"/>
        <v>60166822.150000006</v>
      </c>
      <c r="E154" s="13">
        <f t="shared" si="24"/>
        <v>22834161.069999997</v>
      </c>
      <c r="F154" s="13">
        <f t="shared" si="24"/>
        <v>21760896.189999994</v>
      </c>
      <c r="G154" s="13">
        <f t="shared" si="24"/>
        <v>37332661.079999998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  <row r="159" spans="1:7">
      <c r="A159" s="19"/>
      <c r="B159" s="51"/>
      <c r="C159" s="52"/>
      <c r="D159" s="52"/>
      <c r="E159" s="19"/>
    </row>
    <row r="160" spans="1:7">
      <c r="A160" s="53"/>
      <c r="B160" s="54"/>
      <c r="C160" s="55" t="s">
        <v>151</v>
      </c>
      <c r="D160" s="56"/>
      <c r="E160" s="19"/>
    </row>
    <row r="161" spans="1:5">
      <c r="A161" s="53"/>
      <c r="B161" s="54"/>
      <c r="C161" s="57"/>
      <c r="D161" s="56"/>
      <c r="E161" s="19"/>
    </row>
    <row r="162" spans="1:5">
      <c r="A162" s="53"/>
      <c r="B162" s="54"/>
      <c r="C162" s="57"/>
      <c r="D162" s="56"/>
      <c r="E162" s="19"/>
    </row>
    <row r="163" spans="1:5">
      <c r="A163" s="53"/>
      <c r="B163" s="54"/>
      <c r="C163" s="58"/>
      <c r="D163" s="59"/>
      <c r="E163" s="19"/>
    </row>
    <row r="164" spans="1:5">
      <c r="A164" s="53"/>
      <c r="B164" s="54"/>
      <c r="C164" s="60" t="s">
        <v>152</v>
      </c>
      <c r="D164" s="56"/>
      <c r="E164" s="19"/>
    </row>
    <row r="165" spans="1:5">
      <c r="A165" s="53"/>
      <c r="B165" s="54"/>
      <c r="C165" s="60" t="s">
        <v>153</v>
      </c>
      <c r="D165" s="56"/>
      <c r="E165" s="19"/>
    </row>
    <row r="166" spans="1:5">
      <c r="A166" s="53"/>
      <c r="B166" s="54"/>
      <c r="C166" s="57"/>
      <c r="D166" s="56"/>
      <c r="E166" s="19"/>
    </row>
    <row r="167" spans="1:5">
      <c r="A167" s="19"/>
      <c r="B167" s="51"/>
      <c r="C167" s="52"/>
      <c r="D167" s="52"/>
      <c r="E167" s="19"/>
    </row>
    <row r="168" spans="1:5">
      <c r="A168" s="19"/>
      <c r="B168" s="19"/>
      <c r="C168" s="19"/>
      <c r="D168" s="19"/>
      <c r="E168" s="1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1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selection sqref="A1:G1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156</v>
      </c>
      <c r="B1" s="66"/>
      <c r="C1" s="66"/>
      <c r="D1" s="66"/>
      <c r="E1" s="66"/>
      <c r="F1" s="66"/>
      <c r="G1" s="67"/>
    </row>
    <row r="2" spans="1:7">
      <c r="A2" s="20"/>
      <c r="B2" s="68" t="s">
        <v>0</v>
      </c>
      <c r="C2" s="68"/>
      <c r="D2" s="68"/>
      <c r="E2" s="68"/>
      <c r="F2" s="68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150</v>
      </c>
      <c r="B5" s="13">
        <f>SUM(B6:B14)</f>
        <v>52450352</v>
      </c>
      <c r="C5" s="13">
        <f>SUM(C6:C14)</f>
        <v>7716470.1500000069</v>
      </c>
      <c r="D5" s="13">
        <f>SUM(D6:D14)</f>
        <v>60166822.150000006</v>
      </c>
      <c r="E5" s="13">
        <f>SUM(E6:E14)</f>
        <v>22834161.07</v>
      </c>
      <c r="F5" s="13">
        <f>SUM(F6:F14)</f>
        <v>21760896.189999998</v>
      </c>
      <c r="G5" s="13">
        <f t="shared" ref="G5" si="0">SUM(G6:G13)</f>
        <v>20794473.259999998</v>
      </c>
    </row>
    <row r="6" spans="1:7" ht="12">
      <c r="A6" s="26" t="s">
        <v>89</v>
      </c>
      <c r="B6" s="49">
        <f>[1]!'@CTA[8-2-1,F,1,#3]'</f>
        <v>20068827</v>
      </c>
      <c r="C6" s="49">
        <f>[1]!'@CTA[8-2-3,F,1,#3]'</f>
        <v>289179.76000000327</v>
      </c>
      <c r="D6" s="16">
        <f>B6+C6</f>
        <v>20358006.760000002</v>
      </c>
      <c r="E6" s="50">
        <f>[1]!'@CTA[8-2-4,J,1,#3]'</f>
        <v>9630257.9199999999</v>
      </c>
      <c r="F6" s="50">
        <f>[1]!'@CTA[8-2-7,F,1,#3]'</f>
        <v>9188621.3799999952</v>
      </c>
      <c r="G6" s="16">
        <f>D6-E6</f>
        <v>10727748.840000002</v>
      </c>
    </row>
    <row r="7" spans="1:7" ht="12">
      <c r="A7" s="26" t="s">
        <v>90</v>
      </c>
      <c r="B7" s="49">
        <f>[1]!'@CTA[8-2-1,F,2,#3]'</f>
        <v>3337968</v>
      </c>
      <c r="C7" s="49">
        <f>[1]!'@CTA[8-2-3,F,2,#3]'</f>
        <v>20510.060000001165</v>
      </c>
      <c r="D7" s="16">
        <f t="shared" ref="D7:D14" si="1">B7+C7</f>
        <v>3358478.060000001</v>
      </c>
      <c r="E7" s="50">
        <f>[1]!'@CTA[8-2-4,J,2,#3]'</f>
        <v>1458653.3900000001</v>
      </c>
      <c r="F7" s="50">
        <f>[1]!'@CTA[8-2-7,F,2,#3]'</f>
        <v>1381770.6300000006</v>
      </c>
      <c r="G7" s="16">
        <f t="shared" ref="G7:G14" si="2">D7-E7</f>
        <v>1899824.6700000009</v>
      </c>
    </row>
    <row r="8" spans="1:7" ht="12">
      <c r="A8" s="26" t="s">
        <v>91</v>
      </c>
      <c r="B8" s="49">
        <f>[1]!'@CTA[8-2-1,F,3,#3]'</f>
        <v>2326852</v>
      </c>
      <c r="C8" s="49">
        <f>[1]!'@CTA[8-2-3,F,3,#3]'</f>
        <v>205226.80999999985</v>
      </c>
      <c r="D8" s="16">
        <f t="shared" si="1"/>
        <v>2532078.81</v>
      </c>
      <c r="E8" s="50">
        <f>[1]!'@CTA[8-2-4,J,3,#3]'</f>
        <v>1030613.95</v>
      </c>
      <c r="F8" s="50">
        <f>[1]!'@CTA[8-2-7,F,3,#3]'</f>
        <v>969777.09000000008</v>
      </c>
      <c r="G8" s="16">
        <f t="shared" si="2"/>
        <v>1501464.86</v>
      </c>
    </row>
    <row r="9" spans="1:7" ht="12">
      <c r="A9" s="26" t="s">
        <v>92</v>
      </c>
      <c r="B9" s="49">
        <f>[1]!'@CTA[8-2-1,F,4,#3]'</f>
        <v>1832177</v>
      </c>
      <c r="C9" s="49">
        <f>[1]!'@CTA[8-2-3,F,4,#3]'</f>
        <v>26041.859999999884</v>
      </c>
      <c r="D9" s="16">
        <f t="shared" si="1"/>
        <v>1858218.8599999999</v>
      </c>
      <c r="E9" s="50">
        <f>[1]!'@CTA[8-2-4,J,4,#3]'</f>
        <v>844282.51000000013</v>
      </c>
      <c r="F9" s="50">
        <f>[1]!'@CTA[8-2-7,F,4,#3]'</f>
        <v>798303.86999999813</v>
      </c>
      <c r="G9" s="16">
        <f t="shared" si="2"/>
        <v>1013936.3499999997</v>
      </c>
    </row>
    <row r="10" spans="1:7" ht="12">
      <c r="A10" s="26" t="s">
        <v>93</v>
      </c>
      <c r="B10" s="49">
        <f>[1]!'@CTA[8-2-1,F,5,#3]'</f>
        <v>3071541</v>
      </c>
      <c r="C10" s="49">
        <f>[1]!'@CTA[8-2-3,F,5,#3]'</f>
        <v>328670.80000000005</v>
      </c>
      <c r="D10" s="16">
        <f t="shared" si="1"/>
        <v>3400211.8</v>
      </c>
      <c r="E10" s="50">
        <f>[1]!'@CTA[8-2-4,J,5,#3]'</f>
        <v>1550171.7900000003</v>
      </c>
      <c r="F10" s="50">
        <f>[1]!'@CTA[8-2-7,F,5,#3]'</f>
        <v>1491898.150000002</v>
      </c>
      <c r="G10" s="16">
        <f t="shared" si="2"/>
        <v>1850040.0099999995</v>
      </c>
    </row>
    <row r="11" spans="1:7" ht="12">
      <c r="A11" s="26" t="s">
        <v>94</v>
      </c>
      <c r="B11" s="49">
        <f>[1]!'@CTA[8-2-1,F,6,#3]'</f>
        <v>1147631</v>
      </c>
      <c r="C11" s="49">
        <f>[1]!'@CTA[8-2-3,F,6,#3]'</f>
        <v>10495.96999999997</v>
      </c>
      <c r="D11" s="16">
        <f t="shared" si="1"/>
        <v>1158126.97</v>
      </c>
      <c r="E11" s="50">
        <f>[1]!'@CTA[8-2-4,J,6,#3]'</f>
        <v>280355.5</v>
      </c>
      <c r="F11" s="50">
        <f>[1]!'@CTA[8-2-7,F,6,#3]'</f>
        <v>263683.17000000022</v>
      </c>
      <c r="G11" s="16">
        <f t="shared" si="2"/>
        <v>877771.47</v>
      </c>
    </row>
    <row r="12" spans="1:7" ht="12">
      <c r="A12" s="26" t="s">
        <v>95</v>
      </c>
      <c r="B12" s="49">
        <f>[1]!'@CTA[8-2-1,F,7,#3]'</f>
        <v>4662045</v>
      </c>
      <c r="C12" s="49">
        <f>[1]!'@CTA[8-2-3,F,7,#3]'</f>
        <v>31731.379999999303</v>
      </c>
      <c r="D12" s="16">
        <f t="shared" si="1"/>
        <v>4693776.379999999</v>
      </c>
      <c r="E12" s="50">
        <f>[1]!'@CTA[8-2-4,J,7,#3]'</f>
        <v>2467193.0100000002</v>
      </c>
      <c r="F12" s="50">
        <f>[1]!'@CTA[8-2-7,F,7,#3]'</f>
        <v>2324187.7100000018</v>
      </c>
      <c r="G12" s="16">
        <f t="shared" si="2"/>
        <v>2226583.3699999987</v>
      </c>
    </row>
    <row r="13" spans="1:7" ht="12">
      <c r="A13" s="26" t="s">
        <v>148</v>
      </c>
      <c r="B13" s="49">
        <f>[1]!'@CTA[8-2-1,F,8,#3]'</f>
        <v>1047753</v>
      </c>
      <c r="C13" s="49">
        <f>[1]!'@CTA[8-2-3,F,8,#3]'</f>
        <v>13726.250000000116</v>
      </c>
      <c r="D13" s="16">
        <f t="shared" si="1"/>
        <v>1061479.25</v>
      </c>
      <c r="E13" s="50">
        <f>[1]!'@CTA[8-2-4,J,8,#3]'</f>
        <v>364375.56000000006</v>
      </c>
      <c r="F13" s="50">
        <f>[1]!'@CTA[8-2-7,F,8,#3]'</f>
        <v>170548.3499999996</v>
      </c>
      <c r="G13" s="16">
        <f t="shared" si="2"/>
        <v>697103.69</v>
      </c>
    </row>
    <row r="14" spans="1:7" ht="12">
      <c r="A14" s="26" t="s">
        <v>149</v>
      </c>
      <c r="B14" s="49">
        <f>[1]!'@CTA[8-2-1,F,9,#3]'</f>
        <v>14955558</v>
      </c>
      <c r="C14" s="49">
        <f>[1]!'@CTA[8-2-3,F,9,#3]'</f>
        <v>6790887.2600000035</v>
      </c>
      <c r="D14" s="16">
        <f t="shared" si="1"/>
        <v>21746445.260000005</v>
      </c>
      <c r="E14" s="50">
        <f>[1]!'@CTA[8-2-4,J,9,#3]'</f>
        <v>5208257.4400000004</v>
      </c>
      <c r="F14" s="50">
        <f>[1]!'@CTA[8-2-7,F,9,#3]'</f>
        <v>5172105.8400000008</v>
      </c>
      <c r="G14" s="16">
        <f t="shared" si="2"/>
        <v>16538187.820000004</v>
      </c>
    </row>
    <row r="15" spans="1:7" ht="5.0999999999999996" customHeight="1">
      <c r="A15" s="26"/>
      <c r="B15" s="16"/>
      <c r="C15" s="16"/>
      <c r="D15" s="16"/>
      <c r="E15" s="16"/>
      <c r="F15" s="16"/>
      <c r="G15" s="16"/>
    </row>
    <row r="16" spans="1:7">
      <c r="A16" s="27" t="s">
        <v>97</v>
      </c>
      <c r="B16" s="16"/>
      <c r="C16" s="16"/>
      <c r="D16" s="16"/>
      <c r="E16" s="16"/>
      <c r="F16" s="16"/>
      <c r="G16" s="16"/>
    </row>
    <row r="17" spans="1:7">
      <c r="A17" s="27" t="s">
        <v>98</v>
      </c>
      <c r="B17" s="13">
        <f>SUM(B18:B25)</f>
        <v>0</v>
      </c>
      <c r="C17" s="13">
        <f t="shared" ref="C17:G17" si="3">SUM(C18:C25)</f>
        <v>0</v>
      </c>
      <c r="D17" s="13">
        <f t="shared" si="3"/>
        <v>0</v>
      </c>
      <c r="E17" s="13">
        <f t="shared" si="3"/>
        <v>0</v>
      </c>
      <c r="F17" s="13">
        <f t="shared" si="3"/>
        <v>0</v>
      </c>
      <c r="G17" s="13">
        <f t="shared" si="3"/>
        <v>0</v>
      </c>
    </row>
    <row r="18" spans="1:7">
      <c r="A18" s="26" t="s">
        <v>89</v>
      </c>
      <c r="B18" s="16"/>
      <c r="C18" s="16"/>
      <c r="D18" s="16"/>
      <c r="E18" s="16"/>
      <c r="F18" s="16"/>
      <c r="G18" s="16">
        <f t="shared" ref="G18:G25" si="4">D18-E18</f>
        <v>0</v>
      </c>
    </row>
    <row r="19" spans="1:7">
      <c r="A19" s="26" t="s">
        <v>90</v>
      </c>
      <c r="B19" s="16"/>
      <c r="C19" s="16"/>
      <c r="D19" s="16"/>
      <c r="E19" s="16"/>
      <c r="F19" s="16"/>
      <c r="G19" s="16">
        <f t="shared" si="4"/>
        <v>0</v>
      </c>
    </row>
    <row r="20" spans="1:7">
      <c r="A20" s="26" t="s">
        <v>91</v>
      </c>
      <c r="B20" s="16"/>
      <c r="C20" s="16"/>
      <c r="D20" s="16"/>
      <c r="E20" s="16"/>
      <c r="F20" s="16"/>
      <c r="G20" s="16">
        <f t="shared" si="4"/>
        <v>0</v>
      </c>
    </row>
    <row r="21" spans="1:7">
      <c r="A21" s="26" t="s">
        <v>92</v>
      </c>
      <c r="B21" s="16"/>
      <c r="C21" s="16"/>
      <c r="D21" s="16"/>
      <c r="E21" s="16"/>
      <c r="F21" s="16"/>
      <c r="G21" s="16">
        <f t="shared" si="4"/>
        <v>0</v>
      </c>
    </row>
    <row r="22" spans="1:7">
      <c r="A22" s="26" t="s">
        <v>93</v>
      </c>
      <c r="B22" s="16"/>
      <c r="C22" s="16"/>
      <c r="D22" s="16"/>
      <c r="E22" s="16"/>
      <c r="F22" s="16"/>
      <c r="G22" s="16">
        <f t="shared" si="4"/>
        <v>0</v>
      </c>
    </row>
    <row r="23" spans="1:7">
      <c r="A23" s="26" t="s">
        <v>94</v>
      </c>
      <c r="B23" s="16"/>
      <c r="C23" s="16"/>
      <c r="D23" s="16"/>
      <c r="E23" s="16"/>
      <c r="F23" s="16"/>
      <c r="G23" s="16">
        <f t="shared" si="4"/>
        <v>0</v>
      </c>
    </row>
    <row r="24" spans="1:7">
      <c r="A24" s="26" t="s">
        <v>95</v>
      </c>
      <c r="B24" s="16"/>
      <c r="C24" s="16"/>
      <c r="D24" s="16"/>
      <c r="E24" s="16"/>
      <c r="F24" s="16"/>
      <c r="G24" s="16">
        <f t="shared" si="4"/>
        <v>0</v>
      </c>
    </row>
    <row r="25" spans="1:7">
      <c r="A25" s="26" t="s">
        <v>96</v>
      </c>
      <c r="B25" s="16"/>
      <c r="C25" s="16"/>
      <c r="D25" s="16"/>
      <c r="E25" s="16"/>
      <c r="F25" s="16"/>
      <c r="G25" s="16">
        <f t="shared" si="4"/>
        <v>0</v>
      </c>
    </row>
    <row r="26" spans="1:7" ht="5.0999999999999996" customHeight="1">
      <c r="A26" s="28"/>
      <c r="B26" s="16"/>
      <c r="C26" s="16"/>
      <c r="D26" s="16"/>
      <c r="E26" s="16"/>
      <c r="F26" s="16"/>
      <c r="G26" s="16"/>
    </row>
    <row r="27" spans="1:7">
      <c r="A27" s="25" t="s">
        <v>83</v>
      </c>
      <c r="B27" s="13">
        <f>B5+B17</f>
        <v>52450352</v>
      </c>
      <c r="C27" s="13">
        <f t="shared" ref="C27:G27" si="5">C5+C17</f>
        <v>7716470.1500000069</v>
      </c>
      <c r="D27" s="13">
        <f t="shared" si="5"/>
        <v>60166822.150000006</v>
      </c>
      <c r="E27" s="13">
        <f t="shared" si="5"/>
        <v>22834161.07</v>
      </c>
      <c r="F27" s="13">
        <f t="shared" si="5"/>
        <v>21760896.189999998</v>
      </c>
      <c r="G27" s="13">
        <f t="shared" si="5"/>
        <v>20794473.259999998</v>
      </c>
    </row>
    <row r="28" spans="1:7" ht="5.0999999999999996" customHeight="1">
      <c r="A28" s="29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conditionalFormatting sqref="B6">
    <cfRule type="expression" priority="49" stopIfTrue="1">
      <formula>NOT(ISERROR(SEARCH("COIWIN",B6)))</formula>
    </cfRule>
    <cfRule type="expression" dxfId="20" priority="50" stopIfTrue="1">
      <formula>NOT(ISERROR(SEARCH("COI",B6)))</formula>
    </cfRule>
  </conditionalFormatting>
  <conditionalFormatting sqref="B7">
    <cfRule type="expression" priority="47" stopIfTrue="1">
      <formula>NOT(ISERROR(SEARCH("COIWIN",B7)))</formula>
    </cfRule>
    <cfRule type="expression" dxfId="19" priority="48" stopIfTrue="1">
      <formula>NOT(ISERROR(SEARCH("COI",B7)))</formula>
    </cfRule>
  </conditionalFormatting>
  <conditionalFormatting sqref="B8">
    <cfRule type="expression" priority="45" stopIfTrue="1">
      <formula>NOT(ISERROR(SEARCH("COIWIN",B8)))</formula>
    </cfRule>
    <cfRule type="expression" dxfId="18" priority="46" stopIfTrue="1">
      <formula>NOT(ISERROR(SEARCH("COI",B8)))</formula>
    </cfRule>
  </conditionalFormatting>
  <conditionalFormatting sqref="B9:B14">
    <cfRule type="expression" priority="43" stopIfTrue="1">
      <formula>NOT(ISERROR(SEARCH("COIWIN",B9)))</formula>
    </cfRule>
    <cfRule type="expression" dxfId="17" priority="44" stopIfTrue="1">
      <formula>NOT(ISERROR(SEARCH("COI",B9)))</formula>
    </cfRule>
  </conditionalFormatting>
  <conditionalFormatting sqref="E6">
    <cfRule type="expression" priority="33" stopIfTrue="1">
      <formula>NOT(ISERROR(SEARCH("COIWIN",E6)))</formula>
    </cfRule>
    <cfRule type="expression" dxfId="16" priority="34" stopIfTrue="1">
      <formula>NOT(ISERROR(SEARCH("COI",E6)))</formula>
    </cfRule>
  </conditionalFormatting>
  <conditionalFormatting sqref="E7">
    <cfRule type="expression" priority="31" stopIfTrue="1">
      <formula>NOT(ISERROR(SEARCH("COIWIN",E7)))</formula>
    </cfRule>
    <cfRule type="expression" dxfId="15" priority="32" stopIfTrue="1">
      <formula>NOT(ISERROR(SEARCH("COI",E7)))</formula>
    </cfRule>
  </conditionalFormatting>
  <conditionalFormatting sqref="E8">
    <cfRule type="expression" priority="29" stopIfTrue="1">
      <formula>NOT(ISERROR(SEARCH("COIWIN",E8)))</formula>
    </cfRule>
    <cfRule type="expression" dxfId="14" priority="30" stopIfTrue="1">
      <formula>NOT(ISERROR(SEARCH("COI",E8)))</formula>
    </cfRule>
  </conditionalFormatting>
  <conditionalFormatting sqref="E9:E14">
    <cfRule type="expression" priority="27" stopIfTrue="1">
      <formula>NOT(ISERROR(SEARCH("COIWIN",E9)))</formula>
    </cfRule>
    <cfRule type="expression" dxfId="13" priority="28" stopIfTrue="1">
      <formula>NOT(ISERROR(SEARCH("COI",E9)))</formula>
    </cfRule>
  </conditionalFormatting>
  <conditionalFormatting sqref="F6">
    <cfRule type="expression" priority="25" stopIfTrue="1">
      <formula>NOT(ISERROR(SEARCH("COIWIN",F6)))</formula>
    </cfRule>
    <cfRule type="expression" dxfId="12" priority="26" stopIfTrue="1">
      <formula>NOT(ISERROR(SEARCH("COI",F6)))</formula>
    </cfRule>
  </conditionalFormatting>
  <conditionalFormatting sqref="F7">
    <cfRule type="expression" priority="23" stopIfTrue="1">
      <formula>NOT(ISERROR(SEARCH("COIWIN",F7)))</formula>
    </cfRule>
    <cfRule type="expression" dxfId="11" priority="24" stopIfTrue="1">
      <formula>NOT(ISERROR(SEARCH("COI",F7)))</formula>
    </cfRule>
  </conditionalFormatting>
  <conditionalFormatting sqref="F8">
    <cfRule type="expression" priority="21" stopIfTrue="1">
      <formula>NOT(ISERROR(SEARCH("COIWIN",F8)))</formula>
    </cfRule>
    <cfRule type="expression" dxfId="10" priority="22" stopIfTrue="1">
      <formula>NOT(ISERROR(SEARCH("COI",F8)))</formula>
    </cfRule>
  </conditionalFormatting>
  <conditionalFormatting sqref="F9:F14">
    <cfRule type="expression" priority="19" stopIfTrue="1">
      <formula>NOT(ISERROR(SEARCH("COIWIN",F9)))</formula>
    </cfRule>
    <cfRule type="expression" dxfId="9" priority="20" stopIfTrue="1">
      <formula>NOT(ISERROR(SEARCH("COI",F9)))</formula>
    </cfRule>
  </conditionalFormatting>
  <conditionalFormatting sqref="C6">
    <cfRule type="expression" priority="17" stopIfTrue="1">
      <formula>NOT(ISERROR(SEARCH("COIWIN",C6)))</formula>
    </cfRule>
    <cfRule type="expression" dxfId="8" priority="18" stopIfTrue="1">
      <formula>NOT(ISERROR(SEARCH("COI",C6)))</formula>
    </cfRule>
  </conditionalFormatting>
  <conditionalFormatting sqref="C7">
    <cfRule type="expression" priority="15" stopIfTrue="1">
      <formula>NOT(ISERROR(SEARCH("COIWIN",C7)))</formula>
    </cfRule>
    <cfRule type="expression" dxfId="7" priority="16" stopIfTrue="1">
      <formula>NOT(ISERROR(SEARCH("COI",C7)))</formula>
    </cfRule>
  </conditionalFormatting>
  <conditionalFormatting sqref="C8">
    <cfRule type="expression" priority="13" stopIfTrue="1">
      <formula>NOT(ISERROR(SEARCH("COIWIN",C8)))</formula>
    </cfRule>
    <cfRule type="expression" dxfId="6" priority="14" stopIfTrue="1">
      <formula>NOT(ISERROR(SEARCH("COI",C8)))</formula>
    </cfRule>
  </conditionalFormatting>
  <conditionalFormatting sqref="C9">
    <cfRule type="expression" priority="11" stopIfTrue="1">
      <formula>NOT(ISERROR(SEARCH("COIWIN",C9)))</formula>
    </cfRule>
    <cfRule type="expression" dxfId="5" priority="12" stopIfTrue="1">
      <formula>NOT(ISERROR(SEARCH("COI",C9)))</formula>
    </cfRule>
  </conditionalFormatting>
  <conditionalFormatting sqref="C10">
    <cfRule type="expression" priority="9" stopIfTrue="1">
      <formula>NOT(ISERROR(SEARCH("COIWIN",C10)))</formula>
    </cfRule>
    <cfRule type="expression" dxfId="4" priority="10" stopIfTrue="1">
      <formula>NOT(ISERROR(SEARCH("COI",C10)))</formula>
    </cfRule>
  </conditionalFormatting>
  <conditionalFormatting sqref="C11">
    <cfRule type="expression" priority="7" stopIfTrue="1">
      <formula>NOT(ISERROR(SEARCH("COIWIN",C11)))</formula>
    </cfRule>
    <cfRule type="expression" dxfId="3" priority="8" stopIfTrue="1">
      <formula>NOT(ISERROR(SEARCH("COI",C11)))</formula>
    </cfRule>
  </conditionalFormatting>
  <conditionalFormatting sqref="C12">
    <cfRule type="expression" priority="5" stopIfTrue="1">
      <formula>NOT(ISERROR(SEARCH("COIWIN",C12)))</formula>
    </cfRule>
    <cfRule type="expression" dxfId="2" priority="6" stopIfTrue="1">
      <formula>NOT(ISERROR(SEARCH("COI",C12)))</formula>
    </cfRule>
  </conditionalFormatting>
  <conditionalFormatting sqref="C13">
    <cfRule type="expression" priority="3" stopIfTrue="1">
      <formula>NOT(ISERROR(SEARCH("COIWIN",C13)))</formula>
    </cfRule>
    <cfRule type="expression" dxfId="1" priority="4" stopIfTrue="1">
      <formula>NOT(ISERROR(SEARCH("COI",C13)))</formula>
    </cfRule>
  </conditionalFormatting>
  <conditionalFormatting sqref="C14">
    <cfRule type="expression" priority="1" stopIfTrue="1">
      <formula>NOT(ISERROR(SEARCH("COIWIN",C14)))</formula>
    </cfRule>
    <cfRule type="expression" dxfId="0" priority="2" stopIfTrue="1">
      <formula>NOT(ISERROR(SEARCH("COI",C14)))</formula>
    </cfRule>
  </conditionalFormatting>
  <pageMargins left="0.70866141732283472" right="0.70866141732283472" top="0.74803149606299213" bottom="0.74803149606299213" header="0.31496062992125984" footer="0.31496062992125984"/>
  <pageSetup scale="93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workbookViewId="0">
      <selection sqref="A1:G1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65" t="s">
        <v>154</v>
      </c>
      <c r="B1" s="69"/>
      <c r="C1" s="69"/>
      <c r="D1" s="69"/>
      <c r="E1" s="69"/>
      <c r="F1" s="69"/>
      <c r="G1" s="70"/>
    </row>
    <row r="2" spans="1:7" ht="12" customHeight="1">
      <c r="A2" s="30"/>
      <c r="B2" s="68" t="s">
        <v>0</v>
      </c>
      <c r="C2" s="68"/>
      <c r="D2" s="68"/>
      <c r="E2" s="68"/>
      <c r="F2" s="68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99</v>
      </c>
      <c r="B5" s="13">
        <f>B6+B16+B25+B36</f>
        <v>52450352</v>
      </c>
      <c r="C5" s="13">
        <f t="shared" ref="C5:G5" si="0">C6+C16+C25+C36</f>
        <v>7716470.1500000032</v>
      </c>
      <c r="D5" s="13">
        <f t="shared" si="0"/>
        <v>60166822.150000006</v>
      </c>
      <c r="E5" s="13">
        <f t="shared" si="0"/>
        <v>22834161.069999997</v>
      </c>
      <c r="F5" s="13">
        <f t="shared" si="0"/>
        <v>21760896.189999994</v>
      </c>
      <c r="G5" s="13">
        <f t="shared" si="0"/>
        <v>37332661.080000013</v>
      </c>
    </row>
    <row r="6" spans="1:7">
      <c r="A6" s="12" t="s">
        <v>100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101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102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103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104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105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106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107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108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109</v>
      </c>
      <c r="B16" s="13">
        <f>SUM(B17:B23)</f>
        <v>52450352</v>
      </c>
      <c r="C16" s="13">
        <f t="shared" ref="C16:F16" si="3">SUM(C17:C23)</f>
        <v>7716470.1500000032</v>
      </c>
      <c r="D16" s="13">
        <f t="shared" si="3"/>
        <v>60166822.150000006</v>
      </c>
      <c r="E16" s="13">
        <f t="shared" si="3"/>
        <v>22834161.069999997</v>
      </c>
      <c r="F16" s="13">
        <f t="shared" si="3"/>
        <v>21760896.189999994</v>
      </c>
      <c r="G16" s="13">
        <f t="shared" si="2"/>
        <v>37332661.080000013</v>
      </c>
    </row>
    <row r="17" spans="1:7">
      <c r="A17" s="15" t="s">
        <v>110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111</v>
      </c>
      <c r="B18" s="16">
        <f>F6a!B4</f>
        <v>52450352</v>
      </c>
      <c r="C18" s="16">
        <f>F6a!C4</f>
        <v>7716470.1500000032</v>
      </c>
      <c r="D18" s="16">
        <f>F6a!D4</f>
        <v>60166822.150000006</v>
      </c>
      <c r="E18" s="16">
        <f>F6a!E4</f>
        <v>22834161.069999997</v>
      </c>
      <c r="F18" s="16">
        <f>F6a!F4</f>
        <v>21760896.189999994</v>
      </c>
      <c r="G18" s="16">
        <f t="shared" si="2"/>
        <v>37332661.080000013</v>
      </c>
    </row>
    <row r="19" spans="1:7">
      <c r="A19" s="15" t="s">
        <v>112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113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114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115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116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117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118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119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120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121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122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123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124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125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126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127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128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129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130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131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132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100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101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102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103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104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105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106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107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108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109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110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111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112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113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114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115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116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117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118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119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120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121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122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123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124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125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126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127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128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129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130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131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52450352</v>
      </c>
      <c r="C79" s="13">
        <f t="shared" ref="C79:G79" si="12">C5+C42</f>
        <v>7716470.1500000032</v>
      </c>
      <c r="D79" s="13">
        <f t="shared" si="12"/>
        <v>60166822.150000006</v>
      </c>
      <c r="E79" s="13">
        <f t="shared" si="12"/>
        <v>22834161.069999997</v>
      </c>
      <c r="F79" s="13">
        <f t="shared" si="12"/>
        <v>21760896.189999994</v>
      </c>
      <c r="G79" s="13">
        <f t="shared" si="12"/>
        <v>37332661.080000013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H13" sqref="H13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157</v>
      </c>
      <c r="B1" s="69"/>
      <c r="C1" s="69"/>
      <c r="D1" s="69"/>
      <c r="E1" s="69"/>
      <c r="F1" s="69"/>
      <c r="G1" s="70"/>
    </row>
    <row r="2" spans="1:7">
      <c r="A2" s="30"/>
      <c r="B2" s="68" t="s">
        <v>0</v>
      </c>
      <c r="C2" s="68"/>
      <c r="D2" s="68"/>
      <c r="E2" s="68"/>
      <c r="F2" s="68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133</v>
      </c>
      <c r="F3" s="22" t="s">
        <v>86</v>
      </c>
      <c r="G3" s="37" t="s">
        <v>7</v>
      </c>
    </row>
    <row r="4" spans="1:7">
      <c r="A4" s="38" t="s">
        <v>134</v>
      </c>
      <c r="B4" s="39">
        <f>B5+B6+B7+B10+B11+B14</f>
        <v>17584398</v>
      </c>
      <c r="C4" s="39">
        <f t="shared" ref="C4:G4" si="0">C5+C6+C7+C10+C11+C14</f>
        <v>751463.60000000033</v>
      </c>
      <c r="D4" s="39">
        <f t="shared" si="0"/>
        <v>18335861.600000001</v>
      </c>
      <c r="E4" s="39">
        <f t="shared" si="0"/>
        <v>7713543.5800000001</v>
      </c>
      <c r="F4" s="39">
        <f t="shared" si="0"/>
        <v>7168529.3999999966</v>
      </c>
      <c r="G4" s="39">
        <f t="shared" si="0"/>
        <v>10622318.020000001</v>
      </c>
    </row>
    <row r="5" spans="1:7">
      <c r="A5" s="40" t="s">
        <v>135</v>
      </c>
      <c r="B5" s="48">
        <f>F6a!B5</f>
        <v>17584398</v>
      </c>
      <c r="C5" s="48">
        <f>F6a!C5</f>
        <v>751463.60000000033</v>
      </c>
      <c r="D5" s="48">
        <f>F6a!D5</f>
        <v>18335861.600000001</v>
      </c>
      <c r="E5" s="48">
        <f>F6a!E5</f>
        <v>7713543.5800000001</v>
      </c>
      <c r="F5" s="48">
        <f>F6a!F5</f>
        <v>7168529.3999999966</v>
      </c>
      <c r="G5" s="13">
        <f>D5-E5</f>
        <v>10622318.020000001</v>
      </c>
    </row>
    <row r="6" spans="1:7">
      <c r="A6" s="40" t="s">
        <v>136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137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138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139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140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141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142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143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144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145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135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136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137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138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139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140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141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142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143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144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146</v>
      </c>
      <c r="B27" s="13">
        <f>B4+B16</f>
        <v>17584398</v>
      </c>
      <c r="C27" s="13">
        <f t="shared" ref="C27:G27" si="8">C4+C16</f>
        <v>751463.60000000033</v>
      </c>
      <c r="D27" s="13">
        <f t="shared" si="8"/>
        <v>18335861.600000001</v>
      </c>
      <c r="E27" s="13">
        <f t="shared" si="8"/>
        <v>7713543.5800000001</v>
      </c>
      <c r="F27" s="13">
        <f t="shared" si="8"/>
        <v>7168529.3999999966</v>
      </c>
      <c r="G27" s="13">
        <f t="shared" si="8"/>
        <v>10622318.020000001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F6a</vt:lpstr>
      <vt:lpstr>F6b</vt:lpstr>
      <vt:lpstr>F6c</vt:lpstr>
      <vt:lpstr>F6d</vt:lpstr>
      <vt:lpstr>'F6a'!Títulos_a_imprimir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2017-07-20T15:48:01Z</cp:lastPrinted>
  <dcterms:created xsi:type="dcterms:W3CDTF">2017-01-11T17:22:36Z</dcterms:created>
  <dcterms:modified xsi:type="dcterms:W3CDTF">2017-07-20T16:40:41Z</dcterms:modified>
</cp:coreProperties>
</file>